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K35" i="1"/>
  <c r="K30" i="1"/>
  <c r="K28" i="1"/>
  <c r="K32" i="1"/>
  <c r="K31" i="1"/>
  <c r="K16" i="1"/>
  <c r="K19" i="1"/>
  <c r="K44" i="1"/>
  <c r="K17" i="1"/>
  <c r="K38" i="1"/>
  <c r="K40" i="1"/>
  <c r="K18" i="1"/>
  <c r="K23" i="1"/>
  <c r="K41" i="1"/>
  <c r="K26" i="1"/>
  <c r="K24" i="1"/>
  <c r="K22" i="1"/>
  <c r="K43" i="1"/>
  <c r="K20" i="1"/>
  <c r="K36" i="1"/>
  <c r="K25" i="1"/>
  <c r="K37" i="1"/>
  <c r="K29" i="1"/>
  <c r="K34" i="1"/>
  <c r="K42" i="1"/>
  <c r="F221" i="13" l="1"/>
  <c r="F211" i="13"/>
  <c r="F212" i="13"/>
  <c r="F213" i="13"/>
  <c r="F214" i="13"/>
  <c r="F215" i="13"/>
  <c r="F216" i="13"/>
  <c r="F217" i="13"/>
  <c r="F218" i="13"/>
  <c r="F219" i="13"/>
  <c r="F220" i="13"/>
  <c r="F210" i="13"/>
  <c r="B221" i="13" a="1"/>
  <c r="B221" i="13" l="1"/>
  <c r="Q27" i="1"/>
  <c r="Q22" i="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4" i="1" l="1"/>
  <c r="Q44" i="1"/>
  <c r="T43" i="1"/>
  <c r="Q43" i="1"/>
  <c r="T42" i="1"/>
  <c r="Q42" i="1"/>
  <c r="T41" i="1"/>
  <c r="Q41" i="1"/>
  <c r="T40" i="1"/>
  <c r="Q40" i="1"/>
  <c r="T39" i="1"/>
  <c r="Q39" i="1"/>
  <c r="AB40" i="1" s="1"/>
  <c r="H39" i="1"/>
  <c r="I39" i="1" s="1"/>
  <c r="T38" i="1"/>
  <c r="Q38" i="1"/>
  <c r="T37" i="1"/>
  <c r="Q37" i="1"/>
  <c r="T36" i="1"/>
  <c r="Q36" i="1"/>
  <c r="T35" i="1"/>
  <c r="Q35" i="1"/>
  <c r="T34" i="1"/>
  <c r="Q34" i="1"/>
  <c r="T33" i="1"/>
  <c r="Q33" i="1"/>
  <c r="H33" i="1"/>
  <c r="I33" i="1" s="1"/>
  <c r="T32" i="1"/>
  <c r="Q32" i="1"/>
  <c r="T31" i="1"/>
  <c r="Q31" i="1"/>
  <c r="T30" i="1"/>
  <c r="Q30" i="1"/>
  <c r="T29" i="1"/>
  <c r="Q29" i="1"/>
  <c r="T28" i="1"/>
  <c r="Q28" i="1"/>
  <c r="AB28" i="1" s="1"/>
  <c r="T27" i="1"/>
  <c r="H27" i="1"/>
  <c r="I27" i="1" s="1"/>
  <c r="T26" i="1"/>
  <c r="Q26" i="1"/>
  <c r="T25" i="1"/>
  <c r="Q25" i="1"/>
  <c r="T24" i="1"/>
  <c r="Q24" i="1"/>
  <c r="T23" i="1"/>
  <c r="Q23" i="1"/>
  <c r="T22" i="1"/>
  <c r="T21" i="1"/>
  <c r="Q21" i="1"/>
  <c r="AB22" i="1" s="1"/>
  <c r="H21" i="1"/>
  <c r="I21" i="1" s="1"/>
  <c r="T20" i="1"/>
  <c r="Q20" i="1"/>
  <c r="T19" i="1"/>
  <c r="Q19" i="1"/>
  <c r="T18" i="1"/>
  <c r="Q18" i="1"/>
  <c r="T17" i="1"/>
  <c r="Q17" i="1"/>
  <c r="T16" i="1"/>
  <c r="T15" i="1"/>
  <c r="Q15" i="1"/>
  <c r="AB16" i="1" s="1"/>
  <c r="H15" i="1"/>
  <c r="I15" i="1" s="1"/>
  <c r="T14" i="1"/>
  <c r="I14" i="1"/>
  <c r="T13" i="1"/>
  <c r="I13" i="1"/>
  <c r="T12" i="1"/>
  <c r="I12" i="1"/>
  <c r="T11" i="1"/>
  <c r="AB34" i="1" l="1"/>
  <c r="AB25" i="1"/>
  <c r="AA25" i="1" s="1"/>
  <c r="AB26" i="1"/>
  <c r="AA26" i="1" s="1"/>
  <c r="I11" i="1"/>
  <c r="X11" i="1" s="1"/>
  <c r="X39" i="1"/>
  <c r="X33" i="1"/>
  <c r="X27" i="1"/>
  <c r="X21" i="1"/>
  <c r="X25" i="1"/>
  <c r="X26" i="1"/>
  <c r="X15" i="1"/>
  <c r="X14" i="1"/>
  <c r="X13" i="1"/>
  <c r="X12" i="1"/>
  <c r="Y39" i="1" l="1"/>
  <c r="Z39" i="1"/>
  <c r="X40" i="1" s="1"/>
  <c r="Y40" i="1" s="1"/>
  <c r="Y33" i="1"/>
  <c r="Z33" i="1"/>
  <c r="X34" i="1" s="1"/>
  <c r="Z34" i="1" s="1"/>
  <c r="X35" i="1" s="1"/>
  <c r="Y27" i="1"/>
  <c r="Z27" i="1"/>
  <c r="X28" i="1" s="1"/>
  <c r="Z28" i="1" s="1"/>
  <c r="X29" i="1" s="1"/>
  <c r="Y26" i="1"/>
  <c r="Z26" i="1"/>
  <c r="Y25" i="1"/>
  <c r="Z25" i="1"/>
  <c r="Y21" i="1"/>
  <c r="Z21" i="1"/>
  <c r="Y15" i="1"/>
  <c r="Z15" i="1"/>
  <c r="X16" i="1" s="1"/>
  <c r="Z16" i="1" s="1"/>
  <c r="X17" i="1" s="1"/>
  <c r="Y14" i="1"/>
  <c r="Z14" i="1"/>
  <c r="Y13" i="1"/>
  <c r="Z13" i="1"/>
  <c r="Y12" i="1"/>
  <c r="Z12" i="1"/>
  <c r="Y11" i="1"/>
  <c r="Z11" i="1"/>
  <c r="Y34" i="1" l="1"/>
  <c r="Y28" i="1"/>
  <c r="Y16" i="1"/>
  <c r="Y17" i="1"/>
  <c r="Z17" i="1"/>
  <c r="Z35" i="1"/>
  <c r="X36" i="1" s="1"/>
  <c r="Y35" i="1"/>
  <c r="Z29" i="1"/>
  <c r="X30" i="1" s="1"/>
  <c r="Y29" i="1"/>
  <c r="Z40" i="1"/>
  <c r="X41" i="1" s="1"/>
  <c r="X22" i="1"/>
  <c r="X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25" i="1"/>
  <c r="AC26" i="1"/>
  <c r="Y36" i="1" l="1"/>
  <c r="Z36" i="1"/>
  <c r="Y30" i="1"/>
  <c r="Z30" i="1"/>
  <c r="X31" i="1" s="1"/>
  <c r="Y23" i="1"/>
  <c r="Z23" i="1"/>
  <c r="X24" i="1" s="1"/>
  <c r="Y41" i="1"/>
  <c r="Z41" i="1"/>
  <c r="X42" i="1" s="1"/>
  <c r="Y22" i="1"/>
  <c r="Z22" i="1"/>
  <c r="X18" i="1"/>
  <c r="Y31" i="1" l="1"/>
  <c r="Z31" i="1"/>
  <c r="X32" i="1" s="1"/>
  <c r="X37" i="1"/>
  <c r="X38" i="1"/>
  <c r="Y18" i="1"/>
  <c r="Z18" i="1"/>
  <c r="X19" i="1" s="1"/>
  <c r="Y19" i="1" s="1"/>
  <c r="Y24" i="1"/>
  <c r="Z24" i="1"/>
  <c r="Z42" i="1"/>
  <c r="Y42" i="1"/>
  <c r="Y38" i="1" l="1"/>
  <c r="Z38" i="1"/>
  <c r="Y37" i="1"/>
  <c r="Z37" i="1"/>
  <c r="Y32" i="1"/>
  <c r="Z32" i="1"/>
  <c r="X43" i="1"/>
  <c r="X44" i="1"/>
  <c r="Z19" i="1"/>
  <c r="X20" i="1" s="1"/>
  <c r="Y20" i="1" s="1"/>
  <c r="X10" i="1"/>
  <c r="Y10" i="1" s="1"/>
  <c r="Y44" i="1" l="1"/>
  <c r="Z44" i="1"/>
  <c r="Y43" i="1"/>
  <c r="Z43" i="1"/>
  <c r="Z20" i="1"/>
  <c r="Z10" i="1" l="1"/>
  <c r="AB41" i="1" l="1"/>
  <c r="AB33" i="1"/>
  <c r="AB15" i="1"/>
  <c r="AA15" i="1" s="1"/>
  <c r="AB27" i="1"/>
  <c r="AA27" i="1" s="1"/>
  <c r="AB21" i="1"/>
  <c r="AA21" i="1" s="1"/>
  <c r="J11" i="19" l="1"/>
  <c r="V11" i="19"/>
  <c r="AB21" i="19"/>
  <c r="P31" i="19"/>
  <c r="J31" i="19"/>
  <c r="AB41" i="19"/>
  <c r="AC15" i="1"/>
  <c r="AH41" i="19"/>
  <c r="P41" i="19"/>
  <c r="J21" i="19"/>
  <c r="AB31" i="19"/>
  <c r="AB51" i="19"/>
  <c r="P21" i="19"/>
  <c r="V41" i="19"/>
  <c r="V31" i="19"/>
  <c r="AH21" i="19"/>
  <c r="AB11" i="19"/>
  <c r="P51" i="19"/>
  <c r="V21" i="19"/>
  <c r="AH31" i="19"/>
  <c r="V51" i="19"/>
  <c r="J51" i="19"/>
  <c r="AH51" i="19"/>
  <c r="AH11" i="19"/>
  <c r="J41" i="19"/>
  <c r="P11" i="19"/>
  <c r="AC2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3" i="1"/>
  <c r="AA40" i="1"/>
  <c r="AA41" i="1"/>
  <c r="AB42" i="1"/>
  <c r="AA16" i="1"/>
  <c r="AB17" i="1"/>
  <c r="AA17" i="1" s="1"/>
  <c r="AB18" i="1"/>
  <c r="V32" i="19"/>
  <c r="P42" i="19"/>
  <c r="J12" i="19"/>
  <c r="J32" i="19"/>
  <c r="AB52" i="19"/>
  <c r="AC21" i="1"/>
  <c r="J22" i="19"/>
  <c r="V22" i="19"/>
  <c r="J52" i="19"/>
  <c r="AH12" i="19"/>
  <c r="J42" i="19"/>
  <c r="AH42" i="19"/>
  <c r="P32" i="19"/>
  <c r="AB12" i="19"/>
  <c r="AH32" i="19"/>
  <c r="AB32" i="19"/>
  <c r="AB42" i="19"/>
  <c r="V42" i="19"/>
  <c r="V12" i="19"/>
  <c r="V52" i="19"/>
  <c r="AB22" i="19"/>
  <c r="AH52" i="19"/>
  <c r="AH22" i="19"/>
  <c r="P22" i="19"/>
  <c r="P12" i="19"/>
  <c r="P52" i="19"/>
  <c r="AB23" i="1"/>
  <c r="AA23" i="1" s="1"/>
  <c r="AB24" i="1"/>
  <c r="AA24" i="1" s="1"/>
  <c r="AA22" i="1"/>
  <c r="AA28" i="1"/>
  <c r="AB29" i="1"/>
  <c r="AA34" i="1"/>
  <c r="AB3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2" i="1"/>
  <c r="AB43" i="1"/>
  <c r="K35" i="19"/>
  <c r="AC25" i="19"/>
  <c r="K45" i="19"/>
  <c r="AI45" i="19"/>
  <c r="W45" i="19"/>
  <c r="Q35" i="19"/>
  <c r="K55" i="19"/>
  <c r="AC15" i="19"/>
  <c r="Q15" i="19"/>
  <c r="AC35" i="19"/>
  <c r="AI35" i="19"/>
  <c r="Q55" i="19"/>
  <c r="AI25" i="19"/>
  <c r="AC4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16" i="1"/>
  <c r="AD55" i="19"/>
  <c r="R15" i="19"/>
  <c r="AJ35" i="19"/>
  <c r="AC4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23" i="1"/>
  <c r="AD12" i="19"/>
  <c r="AD32" i="19"/>
  <c r="AD22" i="19"/>
  <c r="X52" i="19"/>
  <c r="AD52" i="19"/>
  <c r="L42" i="19"/>
  <c r="R42" i="19"/>
  <c r="AJ21" i="19"/>
  <c r="AD31" i="19"/>
  <c r="R21" i="19"/>
  <c r="AD41" i="19"/>
  <c r="AJ11" i="19"/>
  <c r="AJ51" i="19"/>
  <c r="AC17" i="1"/>
  <c r="L41" i="19"/>
  <c r="AD11" i="19"/>
  <c r="L21" i="19"/>
  <c r="L11" i="19"/>
  <c r="X51" i="19"/>
  <c r="X21" i="19"/>
  <c r="R11" i="19"/>
  <c r="R31" i="19"/>
  <c r="AJ41" i="19"/>
  <c r="L31" i="19"/>
  <c r="R51" i="19"/>
  <c r="X31" i="19"/>
  <c r="X11" i="19"/>
  <c r="X41" i="19"/>
  <c r="AJ31" i="19"/>
  <c r="AD51" i="19"/>
  <c r="R41" i="19"/>
  <c r="AD21" i="19"/>
  <c r="L51" i="19"/>
  <c r="AA29" i="1"/>
  <c r="AB30" i="1"/>
  <c r="K42" i="19"/>
  <c r="AC32" i="19"/>
  <c r="W42" i="19"/>
  <c r="AI52" i="19"/>
  <c r="K22" i="19"/>
  <c r="Q32" i="19"/>
  <c r="AI12" i="19"/>
  <c r="AC52" i="19"/>
  <c r="Q42" i="19"/>
  <c r="AC42" i="19"/>
  <c r="K12" i="19"/>
  <c r="Q22" i="19"/>
  <c r="W52" i="19"/>
  <c r="AI42" i="19"/>
  <c r="W32" i="19"/>
  <c r="AI22" i="19"/>
  <c r="W12" i="19"/>
  <c r="AI32" i="19"/>
  <c r="AC12" i="19"/>
  <c r="Q12" i="19"/>
  <c r="Q52" i="19"/>
  <c r="AC2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5" i="1"/>
  <c r="AB3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8" i="1"/>
  <c r="Q33" i="19"/>
  <c r="AI23" i="19"/>
  <c r="K53" i="19"/>
  <c r="AC23" i="19"/>
  <c r="AC13" i="19"/>
  <c r="W23" i="19"/>
  <c r="W33" i="19"/>
  <c r="Q13" i="19"/>
  <c r="W13" i="19"/>
  <c r="AI13" i="19"/>
  <c r="Q43" i="19"/>
  <c r="Q23" i="19"/>
  <c r="W53" i="19"/>
  <c r="M12" i="19"/>
  <c r="AK42" i="19"/>
  <c r="AE32" i="19"/>
  <c r="AC24" i="1"/>
  <c r="M52" i="19"/>
  <c r="S12" i="19"/>
  <c r="M32" i="19"/>
  <c r="S52" i="19"/>
  <c r="Y52" i="19"/>
  <c r="Y42" i="19"/>
  <c r="AK12" i="19"/>
  <c r="S22" i="19"/>
  <c r="AE12" i="19"/>
  <c r="Y22" i="19"/>
  <c r="S32" i="19"/>
  <c r="AK52" i="19"/>
  <c r="M22" i="19"/>
  <c r="AK32" i="19"/>
  <c r="AE22" i="19"/>
  <c r="AE42" i="19"/>
  <c r="Y32" i="19"/>
  <c r="M42" i="19"/>
  <c r="Y12" i="19"/>
  <c r="AE52" i="19"/>
  <c r="AK22" i="19"/>
  <c r="S42" i="19"/>
  <c r="AA18" i="1"/>
  <c r="AB20" i="1"/>
  <c r="AA20" i="1" s="1"/>
  <c r="AB19" i="1"/>
  <c r="AA19"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30" i="1"/>
  <c r="AB31" i="1"/>
  <c r="AA43" i="1"/>
  <c r="AB44" i="1"/>
  <c r="AA4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9" i="1"/>
  <c r="X23" i="19"/>
  <c r="R33" i="19"/>
  <c r="R43" i="19"/>
  <c r="AD53" i="19"/>
  <c r="AJ13" i="19"/>
  <c r="R23" i="19"/>
  <c r="R13" i="19"/>
  <c r="AJ53" i="19"/>
  <c r="L33" i="19"/>
  <c r="L23" i="19"/>
  <c r="X43" i="19"/>
  <c r="X53" i="19"/>
  <c r="AD13" i="19"/>
  <c r="L53" i="19"/>
  <c r="L13" i="19"/>
  <c r="AD23" i="19"/>
  <c r="AJ33" i="19"/>
  <c r="AJ23" i="19"/>
  <c r="R53" i="19"/>
  <c r="M55" i="19"/>
  <c r="AK15" i="19"/>
  <c r="AE25" i="19"/>
  <c r="AC4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1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20" i="1"/>
  <c r="AG11" i="19"/>
  <c r="AM41" i="19"/>
  <c r="AA21" i="19"/>
  <c r="AA51" i="19"/>
  <c r="U51" i="19"/>
  <c r="U31" i="19"/>
  <c r="AA11" i="19"/>
  <c r="AG21" i="19"/>
  <c r="O31" i="19"/>
  <c r="AA36" i="1"/>
  <c r="AB3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18" i="1"/>
  <c r="S41" i="19"/>
  <c r="AK11" i="19"/>
  <c r="S11" i="19"/>
  <c r="Y31" i="19"/>
  <c r="S21" i="19"/>
  <c r="M11" i="19"/>
  <c r="L54" i="19"/>
  <c r="AJ14" i="19"/>
  <c r="AD44" i="19"/>
  <c r="X54" i="19"/>
  <c r="R14" i="19"/>
  <c r="AD24" i="19"/>
  <c r="AD34" i="19"/>
  <c r="R54" i="19"/>
  <c r="L34" i="19"/>
  <c r="AJ34" i="19"/>
  <c r="X24" i="19"/>
  <c r="AJ24" i="19"/>
  <c r="X44" i="19"/>
  <c r="R24" i="19"/>
  <c r="AC3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31" i="1"/>
  <c r="AB32" i="1"/>
  <c r="AA3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7" i="1"/>
  <c r="AB38" i="1"/>
  <c r="AA3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3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8" i="1"/>
  <c r="AA14" i="19"/>
  <c r="O54" i="19"/>
  <c r="U44" i="19"/>
  <c r="U43" i="19"/>
  <c r="U13" i="19"/>
  <c r="AM53" i="19"/>
  <c r="AA53" i="19"/>
  <c r="AA43" i="19"/>
  <c r="O53" i="19"/>
  <c r="O23" i="19"/>
  <c r="O13" i="19"/>
  <c r="AG43" i="19"/>
  <c r="U33" i="19"/>
  <c r="U23" i="19"/>
  <c r="AM13" i="19"/>
  <c r="AM23" i="19"/>
  <c r="AG13" i="19"/>
  <c r="AA23" i="19"/>
  <c r="AG33" i="19"/>
  <c r="AA33" i="19"/>
  <c r="AM33" i="19"/>
  <c r="AA13" i="19"/>
  <c r="AC3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7" i="1"/>
  <c r="AF53" i="19"/>
  <c r="T43" i="19"/>
  <c r="Z53" i="19"/>
  <c r="N43" i="19"/>
  <c r="T23" i="19"/>
  <c r="AF43" i="19"/>
  <c r="Z13" i="19"/>
  <c r="Z43" i="19"/>
  <c r="AF23" i="19"/>
  <c r="AL13" i="19"/>
  <c r="Z23" i="19"/>
  <c r="AL43" i="19"/>
  <c r="AF13" i="19"/>
  <c r="AL23" i="19"/>
  <c r="N13" i="19"/>
  <c r="T33" i="19"/>
  <c r="AL53" i="19"/>
  <c r="N23" i="19"/>
  <c r="N53" i="19"/>
  <c r="AF33" i="19"/>
  <c r="N33" i="19"/>
  <c r="AC3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J40" i="19" l="1"/>
  <c r="V20" i="19"/>
  <c r="J50" i="19"/>
  <c r="P50" i="19"/>
  <c r="J10" i="19"/>
  <c r="V10" i="19"/>
  <c r="V40" i="19"/>
  <c r="V30" i="19"/>
  <c r="AH10" i="19"/>
  <c r="AB40" i="19"/>
  <c r="AB10" i="19"/>
  <c r="AB20" i="19"/>
  <c r="P20" i="19"/>
  <c r="AB30" i="19"/>
  <c r="AH20" i="19"/>
  <c r="P10" i="19"/>
  <c r="P30" i="19"/>
  <c r="AH30" i="19"/>
  <c r="AH50" i="19"/>
  <c r="J20" i="19"/>
  <c r="J30" i="19"/>
  <c r="AB50" i="19"/>
  <c r="V50" i="19"/>
  <c r="AH40" i="19"/>
  <c r="AC14" i="1"/>
  <c r="P40" i="19"/>
  <c r="AC13"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B223" i="13"/>
  <c r="B222" i="13"/>
  <c r="K15" i="1" l="1"/>
  <c r="L15" i="1" s="1"/>
  <c r="K27" i="1"/>
  <c r="L27" i="1" s="1"/>
  <c r="K39" i="1"/>
  <c r="L39" i="1" s="1"/>
  <c r="K10" i="1"/>
  <c r="K21" i="1"/>
  <c r="L21" i="1" s="1"/>
  <c r="K13" i="1"/>
  <c r="K14" i="1"/>
  <c r="K33" i="1"/>
  <c r="L33" i="1" s="1"/>
  <c r="K12" i="1"/>
  <c r="K11" i="1"/>
  <c r="T10" i="18" l="1"/>
  <c r="AF42" i="18"/>
  <c r="AL26" i="18"/>
  <c r="T26" i="18"/>
  <c r="AL18" i="18"/>
  <c r="AL34" i="18"/>
  <c r="N33" i="1"/>
  <c r="Z42" i="18"/>
  <c r="N42" i="18"/>
  <c r="AF26" i="18"/>
  <c r="AF10" i="18"/>
  <c r="N10" i="18"/>
  <c r="M33" i="1"/>
  <c r="AL42" i="18"/>
  <c r="AF34" i="18"/>
  <c r="AL10" i="18"/>
  <c r="N18" i="18"/>
  <c r="N26" i="18"/>
  <c r="Z26" i="18"/>
  <c r="T42" i="18"/>
  <c r="T18" i="18"/>
  <c r="Z18" i="18"/>
  <c r="Z10" i="18"/>
  <c r="T34" i="18"/>
  <c r="AF18" i="18"/>
  <c r="Z34" i="18"/>
  <c r="N34" i="18"/>
  <c r="N39" i="1"/>
  <c r="V12" i="18"/>
  <c r="M39" i="1"/>
  <c r="AB39" i="1" s="1"/>
  <c r="AA39" i="1" s="1"/>
  <c r="J44" i="18"/>
  <c r="P12" i="18"/>
  <c r="P20" i="18"/>
  <c r="V44" i="18"/>
  <c r="V28" i="18"/>
  <c r="AH28" i="18"/>
  <c r="J12" i="18"/>
  <c r="AB28" i="18"/>
  <c r="AH20" i="18"/>
  <c r="J36" i="18"/>
  <c r="J28" i="18"/>
  <c r="AH44" i="18"/>
  <c r="V36" i="18"/>
  <c r="AH12" i="18"/>
  <c r="P28" i="18"/>
  <c r="P44" i="18"/>
  <c r="AH36" i="18"/>
  <c r="AB20" i="18"/>
  <c r="P36" i="18"/>
  <c r="V20" i="18"/>
  <c r="J20" i="18"/>
  <c r="AB12" i="18"/>
  <c r="AB44" i="18"/>
  <c r="AB36" i="18"/>
  <c r="AD26" i="18"/>
  <c r="X18" i="18"/>
  <c r="AJ10" i="18"/>
  <c r="M27" i="1"/>
  <c r="R34" i="18"/>
  <c r="R42" i="18"/>
  <c r="X42" i="18"/>
  <c r="L10" i="18"/>
  <c r="X34" i="18"/>
  <c r="AD42" i="18"/>
  <c r="L18" i="18"/>
  <c r="L34" i="18"/>
  <c r="X26" i="18"/>
  <c r="AD34" i="18"/>
  <c r="L42" i="18"/>
  <c r="X10" i="18"/>
  <c r="AJ34" i="18"/>
  <c r="AJ26" i="18"/>
  <c r="AJ42" i="18"/>
  <c r="AJ18" i="18"/>
  <c r="AD10" i="18"/>
  <c r="L26" i="18"/>
  <c r="R18" i="18"/>
  <c r="R26" i="18"/>
  <c r="AD18" i="18"/>
  <c r="R10" i="18"/>
  <c r="N27" i="1"/>
  <c r="P34" i="18"/>
  <c r="P10" i="18"/>
  <c r="AH42" i="18"/>
  <c r="AB34" i="18"/>
  <c r="J10" i="18"/>
  <c r="P26" i="18"/>
  <c r="V18" i="18"/>
  <c r="AB18" i="18"/>
  <c r="V34" i="18"/>
  <c r="AB26" i="18"/>
  <c r="V10" i="18"/>
  <c r="AB10" i="18"/>
  <c r="J26" i="18"/>
  <c r="M21" i="1"/>
  <c r="AB42" i="18"/>
  <c r="P42" i="18"/>
  <c r="AH26" i="18"/>
  <c r="AH18" i="18"/>
  <c r="J18" i="18"/>
  <c r="AH10" i="18"/>
  <c r="J42" i="18"/>
  <c r="AH34" i="18"/>
  <c r="V42" i="18"/>
  <c r="V26" i="18"/>
  <c r="J34" i="18"/>
  <c r="N21" i="1"/>
  <c r="P18" i="18"/>
  <c r="Z8" i="18"/>
  <c r="AL32" i="18"/>
  <c r="N15" i="1"/>
  <c r="M15" i="1"/>
  <c r="T8" i="18"/>
  <c r="Z32" i="18"/>
  <c r="AL40" i="18"/>
  <c r="T16" i="18"/>
  <c r="N40" i="18"/>
  <c r="AF24" i="18"/>
  <c r="Z40" i="18"/>
  <c r="Z16" i="18"/>
  <c r="N32" i="18"/>
  <c r="N8" i="18"/>
  <c r="AF40" i="18"/>
  <c r="Z24" i="18"/>
  <c r="AF32" i="18"/>
  <c r="T24" i="18"/>
  <c r="N16" i="18"/>
  <c r="AF16" i="18"/>
  <c r="AL24" i="18"/>
  <c r="AL8" i="18"/>
  <c r="N24" i="18"/>
  <c r="AL16" i="18"/>
  <c r="T40" i="18"/>
  <c r="AF8" i="18"/>
  <c r="T32" i="18"/>
  <c r="AB45" i="19" l="1"/>
  <c r="P15" i="19"/>
  <c r="AH45" i="19"/>
  <c r="V35" i="19"/>
  <c r="AB25" i="19"/>
  <c r="P25" i="19"/>
  <c r="V25" i="19"/>
  <c r="AH25" i="19"/>
  <c r="P45" i="19"/>
  <c r="J25" i="19"/>
  <c r="J55" i="19"/>
  <c r="AH35" i="19"/>
  <c r="P35" i="19"/>
  <c r="AB15" i="19"/>
  <c r="J35" i="19"/>
  <c r="AC39" i="1"/>
  <c r="J15" i="19"/>
  <c r="AH15" i="19"/>
  <c r="J45" i="19"/>
  <c r="V45" i="19"/>
  <c r="AH55" i="19"/>
  <c r="V15" i="19"/>
  <c r="AB35" i="19"/>
  <c r="AB55" i="19"/>
  <c r="P5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<sst xmlns="http://schemas.openxmlformats.org/spreadsheetml/2006/main" count="416" uniqueCount="254">
  <si>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</si>
  <si>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</si>
  <si>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</si>
  <si>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</si>
  <si>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</si>
  <si>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</si>
  <si>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</si>
  <si>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</si>
  <si>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</si>
  <si>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</si>
  <si>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</si>
  <si>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</si>
  <si>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</si>
  <si>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</si>
  <si>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</si>
  <si>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</si>
  <si>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</si>
  <si>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</si>
  <si>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</si>
  <si>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</si>
  <si>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</si>
  <si>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</si>
  <si>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</si>
  <si>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</si>
  <si>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</si>
  <si>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</si>
  <si>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</si>
  <si>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</si>
  <si>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</si>
  <si>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</si>
  <si>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</si>
  <si>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</si>
  <si>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</si>
  <si>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</si>
  <si>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</si>
  <si>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</si>
  <si>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</si>
  <si>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</si>
  <si>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</si>
  <si>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</si>
  <si>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</si>
  <si>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</si>
  <si>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</si>
  <si>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</si>
  <si>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</si>
  <si>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</si>
  <si>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</si>
  <si>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</si>
  <si>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</si>
  <si>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</si>
  <si>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</si>
  <si>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</si>
  <si>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</si>
  <si>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</si>
  <si>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</si>
  <si>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</si>
  <si>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</si>
  <si>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</si>
  <si>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</si>
  <si>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</si>
  <si>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</si>
  <si>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</si>
  <si>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</si>
  <si>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</si>
  <si>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</si>
  <si>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</si>
  <si>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</si>
  <si>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</si>
  <si>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</si>
  <si>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</si>
  <si>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</si>
  <si>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</si>
  <si>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</si>
  <si>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</si>
  <si>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</si>
  <si>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</si>
  <si>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</si>
  <si>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</si>
  <si>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</si>
  <si>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</si>
  <si>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</si>
  <si>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</si>
  <si>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</si>
  <si>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</si>
  <si>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</si>
  <si>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</si>
  <si>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</si>
  <si>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</si>
  <si>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</si>
  <si>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</si>
  <si>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</si>
  <si>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</si>
  <si>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</si>
  <si>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</si>
  <si>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</si>
  <si>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</si>
  <si>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</si>
  <si>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</si>
  <si>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</si>
  <si>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</si>
  <si>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</si>
  <si>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</si>
  <si>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</si>
  <si>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</si>
  <si>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</si>
  <si>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</si>
  <si>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</si>
  <si>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</si>
  <si>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</si>
  <si>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</si>
  <si>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</si>
  <si>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</si>
  <si>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</si>
  <si>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</si>
  <si>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</si>
  <si>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</si>
  <si>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</si>
  <si>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</si>
  <si>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</si>
  <si>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</si>
  <si>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</si>
  <si>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</si>
  <si>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</si>
  <si>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</si>
  <si>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</si>
  <si>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</si>
  <si>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</si>
  <si>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</si>
  <si>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</si>
  <si>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</si>
  <si>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</si>
  <si>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</si>
  <si>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</si>
  <si>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</si>
  <si>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</si>
  <si>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</si>
  <si>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</si>
  <si>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</si>
  <si>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</si>
  <si>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</si>
  <si>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</si>
  <si>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</si>
  <si>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</si>
  <si>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</si>
  <si>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</si>
  <si>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</si>
  <si>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</si>
  <si>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</si>
  <si>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</si>
  <si>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</si>
  <si>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</si>
  <si>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</si>
  <si>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</si>
  <si>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</si>
  <si>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</si>
  <si>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</si>
  <si>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</si>
  <si>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</si>
  <si>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</si>
  <si>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</si>
  <si>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</si>
  <si>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</si>
  <si>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</si>
  <si>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</si>
  <si>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</si>
  <si>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</si>
  <si>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</si>
  <si>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</si>
  <si>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</si>
  <si>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</si>
  <si>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</si>
  <si>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</si>
  <si>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</si>
  <si>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</si>
  <si>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</si>
  <si>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</si>
  <si>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</si>
  <si>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</si>
  <si>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</si>
  <si>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</si>
  <si>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</si>
  <si>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</si>
  <si>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</si>
  <si>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</si>
  <si>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</si>
  <si>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</si>
  <si>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</si>
  <si>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</si>
  <si>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</si>
  <si>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</si>
  <si>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</si>
  <si>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</si>
  <si>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</si>
  <si>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</si>
  <si>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</si>
  <si>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</si>
  <si>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</si>
  <si>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</si>
  <si>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</si>
  <si>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</si>
  <si>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</si>
  <si>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</si>
  <si>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</si>
  <si>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</si>
  <si>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</si>
  <si>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</si>
  <si>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</si>
  <si>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</si>
  <si>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</si>
  <si>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</si>
  <si>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</si>
  <si>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</si>
  <si>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</si>
  <si>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</si>
  <si>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CONTRACTUAL</t>
  </si>
  <si>
    <t>Inicia con la planeación de las actividades y culmina con el seguimiento y evaluación del proceso</t>
  </si>
  <si>
    <t>Estudios previos sin cumplimiento de requisitos normativos      DESCRIPCION                        Estudios previos donde no se acredite la existencia de la necesidad de contratación</t>
  </si>
  <si>
    <t>Falta de Planeación e indebida justificación para adelantar el proceso
Falta de información por parte de las áreas generadoras de la necesidad o supervisoras de los contratos, frente a la planeación y justificación de la misma</t>
  </si>
  <si>
    <t>BAJA</t>
  </si>
  <si>
    <t>MAYOR</t>
  </si>
  <si>
    <t>El profesional de la Secretaría General y Jurídica que estructura el proceso contractual, revisa y solicita a las áreas generadoras y/o supervosras de los contratos el detalle de las necesidades, justificación, obligaciones, en el marco normativo.
Apoyo de parte del equipo directivo para concretar las necesidades de contratación articuladas con el Plan Anual de Adquisiciones.</t>
  </si>
  <si>
    <t>PROBABILIDAD</t>
  </si>
  <si>
    <t>Adelantar proceso de capacitación y/o sensibilización con los generadores y/o supervisores de contratos, sobre la importancia de la planeación en la etapa Pre-Contractual, como insumo para el desarrollo de las demás etapas y como medida de protección para posibles hallazgos de los organismos de control.</t>
  </si>
  <si>
    <t>Secretaría General y Jurídica</t>
  </si>
  <si>
    <t>Enero a Diciembre de 2022</t>
  </si>
  <si>
    <t>SEMESTRAL</t>
  </si>
  <si>
    <t xml:space="preserve">Direccionamiento de procesos contractuales                           DESCRIPCION                       Intereses personales de los funcionarios públicos, en el establecimiento de requisitos técnicos, jurídicos o financieros para el favorecimiento a terceros </t>
  </si>
  <si>
    <t xml:space="preserve">Favores Políticos
Intereses económicos </t>
  </si>
  <si>
    <t>Idoneidad del personal a cargo ds la estructuración y/o justiciación técnica, jurídica, económica de los procesos contractuales.
Operación del Comité de Evaluación de Propuestas
Publicación en el SECOP</t>
  </si>
  <si>
    <t>Descentralización en la estructuración de los procesos
Involucrar las áreas en los procesos de construcción, evaluación y selección.
Socialización de los principios y valores incluidos en el Código de Integridad</t>
  </si>
  <si>
    <t>Publicación extemporanea o errónea de procesos contractuales              DESCRIPCION                  'Publicación fuera de tiempos o inconsistencias en la misma, frente a la plataforma SECOP</t>
  </si>
  <si>
    <t>Falta de conocimiento en el manejo de la plataforma SECOP, por parte del operador en la EDAT.
Deficiencias tecnológicas (red, equipos, escanner, etc.)
Entrega inoportuna de los documentos para el respectivo cargue.</t>
  </si>
  <si>
    <t>ALTA</t>
  </si>
  <si>
    <t xml:space="preserve">Los abogados que estructuran los procesos, preparan los documentos y digitalizan directamente.
Se utilizan equipos de otras áreas como soporte (especialmente en digitalización)
</t>
  </si>
  <si>
    <t>Compra, instalación y operación de nuevos equipos como computador, impresora, escanner), para el desarrollo del procesos
Contrato de servicios de internet, con suficiente capacidad para el cargue de información.</t>
  </si>
  <si>
    <t>Secretaría General y Jurídica - Gerencia</t>
  </si>
  <si>
    <t>Indebida identificación y análisis de los riesgos contractuales                    DESCRIPCION                                 'Los riesgos que se identifican en los procesos contractuales, no se identifican claramente, de acuerdo con el tipo de proceso</t>
  </si>
  <si>
    <t>Falta de conocimiento para la identificación y análisis de los riesgos en el proceso</t>
  </si>
  <si>
    <t>MEDIA</t>
  </si>
  <si>
    <t>MODERADO</t>
  </si>
  <si>
    <t>Se realiza análisis de los riesgos identificados en procesos anteriores o de otras entidades, similares al que se está estructurando</t>
  </si>
  <si>
    <t>Revisión de los Manuales y Guías de Colombia Compra Eficiente
Capacitación a los equipos de trabajo estructuradores, técnicos, jurídicos, financieros en la identificación y análisis de este tipo de riesgos</t>
  </si>
  <si>
    <t>Declaratoria de DESIERTO en los procesos contractuales     DESCRIPCION                               Los procesos contractuales que realiza la entidad, no se pueden llevar a cabo, porque no se cuenta con oferentes o quienes se presentan no cumplen requisitos</t>
  </si>
  <si>
    <t>Definición de requisitos habilitantes no aporpiados para modalidad de contratación.
El valor del proceso no corresponde a los precios del mercado.
No es clara la descripción del bien o el servicio a adquirir
No se cuenta con condiciones que garanticen la transparencia, equidad y competencia entre los proponentes</t>
  </si>
  <si>
    <t>MUY BAJA</t>
  </si>
  <si>
    <t>Estructuración de los análisis del sector por parte de equipos idóneos.
Revisión de los procesos contractuales por parte de varios filtros en la Secretaría General y Jurídica
Disponibilidad de canales de comunicación entre los proponentes y la entidad.
Tiempos en los cronogramas para presentar observaciones a los procesos</t>
  </si>
  <si>
    <t>Realizar los documentos pre-contractuales de manera clara y detellada que no permita confusiones por parte de los oferentes.
Capacitación a los equipos de trabajo estructuradores en el manejo de la etapa pre-contractual (factores claves de éxito)</t>
  </si>
  <si>
    <t>Gestionar la adquisición eficaz y eficiente de los bienes y servicios, así como la ejecución de las obras que requiere la EDAT S.A. E.S.P. OFICIAL, cumpliendo con la normatividad legal vigente y bajo parámetros de efectividad, calidad y transparencia.</t>
  </si>
  <si>
    <t>Enero 10 de 2023</t>
  </si>
  <si>
    <t>Se realizó proceso de capacitación y/o sensibilización con los generadores y/o supervisores de contratos, sobre la importancia de la planeación en la etapa Pre-Contractual, para la vigencia 2022</t>
  </si>
  <si>
    <t>Se evidencia un trabajo articulado entre las áreas en los procesos de construcción, evaluación y selección.</t>
  </si>
  <si>
    <t>Se realizó la compra de los nuevos equipos definidos y el contrato de internet, de acuerdo con las capacidades del proveedor</t>
  </si>
  <si>
    <t>Se realiza la revisión de manuales, capacitación y demás documentos generados por Colombia Compra Eficiente.</t>
  </si>
  <si>
    <t>Se evidencia la realización de los documentos pre-contractuales de manera clara y detellada que no permita confusiones por parte de los oferentes.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</si>
</sst>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sz val="9"/>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1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59" fillId="3" borderId="34" xfId="0" applyFont="1" applyFill="1" applyBorder="1" applyAlignment="1">
      <alignment horizontal="center" vertical="center" wrapText="1"/>
    </xf>
    <xf numFmtId="0" fontId="59" fillId="3" borderId="34" xfId="0" quotePrefix="1" applyFont="1" applyFill="1" applyBorder="1" applyAlignment="1">
      <alignment horizontal="center" vertical="center" wrapText="1"/>
    </xf>
    <xf numFmtId="0" fontId="59" fillId="3" borderId="75" xfId="0" quotePrefix="1" applyFont="1" applyFill="1" applyBorder="1" applyAlignment="1">
      <alignment horizontal="center" vertical="center" wrapText="1"/>
    </xf>
    <xf numFmtId="0" fontId="59" fillId="3" borderId="75" xfId="0" quotePrefix="1" applyFont="1" applyFill="1" applyBorder="1" applyAlignment="1">
      <alignment horizontal="center" vertical="top" wrapText="1"/>
    </xf>
    <xf numFmtId="0" fontId="59" fillId="3" borderId="33" xfId="0" quotePrefix="1" applyFont="1" applyFill="1" applyBorder="1" applyAlignment="1">
      <alignment horizontal="center" vertical="center" wrapText="1"/>
    </xf>
    <xf numFmtId="0" fontId="59" fillId="3" borderId="33" xfId="0" applyFont="1" applyFill="1" applyBorder="1" applyAlignment="1">
      <alignment horizontal="center" vertical="center" wrapText="1"/>
    </xf>
    <xf numFmtId="0" fontId="48" fillId="3" borderId="33" xfId="0" quotePrefix="1" applyFont="1" applyFill="1" applyBorder="1" applyAlignment="1">
      <alignment horizontal="center" vertical="center" wrapText="1"/>
    </xf>
    <xf numFmtId="0" fontId="60" fillId="3" borderId="33" xfId="0" quotePrefix="1" applyFont="1" applyFill="1" applyBorder="1" applyAlignment="1">
      <alignment horizontal="center"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3" borderId="0" xfId="0" applyFont="1" applyFill="1" applyAlignment="1">
      <alignment horizontal="center" vertical="center" wrapText="1"/>
    </xf>
    <xf numFmtId="0" fontId="1" fillId="0" borderId="2" xfId="0" applyFont="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1763486</xdr:colOff>
      <xdr:row>5</xdr:row>
      <xdr:rowOff>204965</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57" t="s">
        <v>166</v>
      </c>
      <c r="C2" s="158"/>
      <c r="D2" s="158"/>
      <c r="E2" s="158"/>
      <c r="F2" s="158"/>
      <c r="G2" s="158"/>
      <c r="H2" s="159"/>
    </row>
    <row r="3" spans="2:8" x14ac:dyDescent="0.4">
      <c r="B3" s="85"/>
      <c r="C3" s="86"/>
      <c r="D3" s="86"/>
      <c r="E3" s="86"/>
      <c r="F3" s="86"/>
      <c r="G3" s="86"/>
      <c r="H3" s="87"/>
    </row>
    <row r="4" spans="2:8" ht="63" customHeight="1" x14ac:dyDescent="0.4">
      <c r="B4" s="160" t="s">
        <v>209</v>
      </c>
      <c r="C4" s="161"/>
      <c r="D4" s="161"/>
      <c r="E4" s="161"/>
      <c r="F4" s="161"/>
      <c r="G4" s="161"/>
      <c r="H4" s="162"/>
    </row>
    <row r="5" spans="2:8" ht="63" customHeight="1" x14ac:dyDescent="0.4">
      <c r="B5" s="163"/>
      <c r="C5" s="164"/>
      <c r="D5" s="164"/>
      <c r="E5" s="164"/>
      <c r="F5" s="164"/>
      <c r="G5" s="164"/>
      <c r="H5" s="165"/>
    </row>
    <row r="6" spans="2:8" x14ac:dyDescent="0.4">
      <c r="B6" s="166" t="s">
        <v>164</v>
      </c>
      <c r="C6" s="167"/>
      <c r="D6" s="167"/>
      <c r="E6" s="167"/>
      <c r="F6" s="167"/>
      <c r="G6" s="167"/>
      <c r="H6" s="168"/>
    </row>
    <row r="7" spans="2:8" ht="95.25" customHeight="1" x14ac:dyDescent="0.4">
      <c r="B7" s="176" t="s">
        <v>169</v>
      </c>
      <c r="C7" s="177"/>
      <c r="D7" s="177"/>
      <c r="E7" s="177"/>
      <c r="F7" s="177"/>
      <c r="G7" s="177"/>
      <c r="H7" s="178"/>
    </row>
    <row r="8" spans="2:8" x14ac:dyDescent="0.4">
      <c r="B8" s="122"/>
      <c r="C8" s="123"/>
      <c r="D8" s="123"/>
      <c r="E8" s="123"/>
      <c r="F8" s="123"/>
      <c r="G8" s="123"/>
      <c r="H8" s="124"/>
    </row>
    <row r="9" spans="2:8" ht="16.5" customHeight="1" x14ac:dyDescent="0.4">
      <c r="B9" s="169" t="s">
        <v>202</v>
      </c>
      <c r="C9" s="170"/>
      <c r="D9" s="170"/>
      <c r="E9" s="170"/>
      <c r="F9" s="170"/>
      <c r="G9" s="170"/>
      <c r="H9" s="171"/>
    </row>
    <row r="10" spans="2:8" ht="44.25" customHeight="1" x14ac:dyDescent="0.4">
      <c r="B10" s="169"/>
      <c r="C10" s="170"/>
      <c r="D10" s="170"/>
      <c r="E10" s="170"/>
      <c r="F10" s="170"/>
      <c r="G10" s="170"/>
      <c r="H10" s="171"/>
    </row>
    <row r="11" spans="2:8" ht="15" thickBot="1" x14ac:dyDescent="0.45">
      <c r="B11" s="110"/>
      <c r="C11" s="113"/>
      <c r="D11" s="118"/>
      <c r="E11" s="119"/>
      <c r="F11" s="119"/>
      <c r="G11" s="120"/>
      <c r="H11" s="121"/>
    </row>
    <row r="12" spans="2:8" ht="15" thickTop="1" x14ac:dyDescent="0.4">
      <c r="B12" s="110"/>
      <c r="C12" s="172" t="s">
        <v>165</v>
      </c>
      <c r="D12" s="173"/>
      <c r="E12" s="174" t="s">
        <v>203</v>
      </c>
      <c r="F12" s="175"/>
      <c r="G12" s="113"/>
      <c r="H12" s="114"/>
    </row>
    <row r="13" spans="2:8" ht="35.25" customHeight="1" x14ac:dyDescent="0.4">
      <c r="B13" s="110"/>
      <c r="C13" s="179" t="s">
        <v>196</v>
      </c>
      <c r="D13" s="180"/>
      <c r="E13" s="181" t="s">
        <v>201</v>
      </c>
      <c r="F13" s="182"/>
      <c r="G13" s="113"/>
      <c r="H13" s="114"/>
    </row>
    <row r="14" spans="2:8" ht="17.25" customHeight="1" x14ac:dyDescent="0.4">
      <c r="B14" s="110"/>
      <c r="C14" s="179" t="s">
        <v>197</v>
      </c>
      <c r="D14" s="180"/>
      <c r="E14" s="181" t="s">
        <v>199</v>
      </c>
      <c r="F14" s="182"/>
      <c r="G14" s="113"/>
      <c r="H14" s="114"/>
    </row>
    <row r="15" spans="2:8" ht="19.5" customHeight="1" x14ac:dyDescent="0.4">
      <c r="B15" s="110"/>
      <c r="C15" s="179" t="s">
        <v>198</v>
      </c>
      <c r="D15" s="180"/>
      <c r="E15" s="181" t="s">
        <v>200</v>
      </c>
      <c r="F15" s="182"/>
      <c r="G15" s="113"/>
      <c r="H15" s="114"/>
    </row>
    <row r="16" spans="2:8" ht="69.75" customHeight="1" x14ac:dyDescent="0.4">
      <c r="B16" s="110"/>
      <c r="C16" s="179" t="s">
        <v>167</v>
      </c>
      <c r="D16" s="180"/>
      <c r="E16" s="181" t="s">
        <v>168</v>
      </c>
      <c r="F16" s="182"/>
      <c r="G16" s="113"/>
      <c r="H16" s="114"/>
    </row>
    <row r="17" spans="2:8" ht="34.5" customHeight="1" x14ac:dyDescent="0.4">
      <c r="B17" s="110"/>
      <c r="C17" s="183" t="s">
        <v>2</v>
      </c>
      <c r="D17" s="184"/>
      <c r="E17" s="185" t="s">
        <v>210</v>
      </c>
      <c r="F17" s="186"/>
      <c r="G17" s="113"/>
      <c r="H17" s="114"/>
    </row>
    <row r="18" spans="2:8" ht="27.75" customHeight="1" x14ac:dyDescent="0.4">
      <c r="B18" s="110"/>
      <c r="C18" s="183" t="s">
        <v>3</v>
      </c>
      <c r="D18" s="184"/>
      <c r="E18" s="185" t="s">
        <v>211</v>
      </c>
      <c r="F18" s="186"/>
      <c r="G18" s="113"/>
      <c r="H18" s="114"/>
    </row>
    <row r="19" spans="2:8" ht="28.5" customHeight="1" x14ac:dyDescent="0.4">
      <c r="B19" s="110"/>
      <c r="C19" s="183" t="s">
        <v>42</v>
      </c>
      <c r="D19" s="184"/>
      <c r="E19" s="185" t="s">
        <v>212</v>
      </c>
      <c r="F19" s="186"/>
      <c r="G19" s="113"/>
      <c r="H19" s="114"/>
    </row>
    <row r="20" spans="2:8" ht="72.75" customHeight="1" x14ac:dyDescent="0.4">
      <c r="B20" s="110"/>
      <c r="C20" s="183" t="s">
        <v>1</v>
      </c>
      <c r="D20" s="184"/>
      <c r="E20" s="185" t="s">
        <v>213</v>
      </c>
      <c r="F20" s="186"/>
      <c r="G20" s="113"/>
      <c r="H20" s="114"/>
    </row>
    <row r="21" spans="2:8" ht="64.5" customHeight="1" x14ac:dyDescent="0.4">
      <c r="B21" s="110"/>
      <c r="C21" s="183" t="s">
        <v>50</v>
      </c>
      <c r="D21" s="184"/>
      <c r="E21" s="185" t="s">
        <v>171</v>
      </c>
      <c r="F21" s="186"/>
      <c r="G21" s="113"/>
      <c r="H21" s="114"/>
    </row>
    <row r="22" spans="2:8" ht="71.25" customHeight="1" x14ac:dyDescent="0.4">
      <c r="B22" s="110"/>
      <c r="C22" s="183" t="s">
        <v>170</v>
      </c>
      <c r="D22" s="184"/>
      <c r="E22" s="185" t="s">
        <v>172</v>
      </c>
      <c r="F22" s="186"/>
      <c r="G22" s="113"/>
      <c r="H22" s="114"/>
    </row>
    <row r="23" spans="2:8" ht="55.5" customHeight="1" x14ac:dyDescent="0.4">
      <c r="B23" s="110"/>
      <c r="C23" s="190" t="s">
        <v>173</v>
      </c>
      <c r="D23" s="191"/>
      <c r="E23" s="185" t="s">
        <v>174</v>
      </c>
      <c r="F23" s="186"/>
      <c r="G23" s="113"/>
      <c r="H23" s="114"/>
    </row>
    <row r="24" spans="2:8" ht="42" customHeight="1" x14ac:dyDescent="0.4">
      <c r="B24" s="110"/>
      <c r="C24" s="190" t="s">
        <v>48</v>
      </c>
      <c r="D24" s="191"/>
      <c r="E24" s="185" t="s">
        <v>175</v>
      </c>
      <c r="F24" s="186"/>
      <c r="G24" s="113"/>
      <c r="H24" s="114"/>
    </row>
    <row r="25" spans="2:8" ht="59.25" customHeight="1" x14ac:dyDescent="0.4">
      <c r="B25" s="110"/>
      <c r="C25" s="190" t="s">
        <v>163</v>
      </c>
      <c r="D25" s="191"/>
      <c r="E25" s="185" t="s">
        <v>176</v>
      </c>
      <c r="F25" s="186"/>
      <c r="G25" s="113"/>
      <c r="H25" s="114"/>
    </row>
    <row r="26" spans="2:8" ht="23.25" customHeight="1" x14ac:dyDescent="0.4">
      <c r="B26" s="110"/>
      <c r="C26" s="190" t="s">
        <v>12</v>
      </c>
      <c r="D26" s="191"/>
      <c r="E26" s="185" t="s">
        <v>177</v>
      </c>
      <c r="F26" s="186"/>
      <c r="G26" s="113"/>
      <c r="H26" s="114"/>
    </row>
    <row r="27" spans="2:8" ht="30.75" customHeight="1" x14ac:dyDescent="0.4">
      <c r="B27" s="110"/>
      <c r="C27" s="190" t="s">
        <v>181</v>
      </c>
      <c r="D27" s="191"/>
      <c r="E27" s="185" t="s">
        <v>178</v>
      </c>
      <c r="F27" s="186"/>
      <c r="G27" s="113"/>
      <c r="H27" s="114"/>
    </row>
    <row r="28" spans="2:8" ht="35.25" customHeight="1" x14ac:dyDescent="0.4">
      <c r="B28" s="110"/>
      <c r="C28" s="190" t="s">
        <v>182</v>
      </c>
      <c r="D28" s="191"/>
      <c r="E28" s="185" t="s">
        <v>179</v>
      </c>
      <c r="F28" s="186"/>
      <c r="G28" s="113"/>
      <c r="H28" s="114"/>
    </row>
    <row r="29" spans="2:8" ht="33" customHeight="1" x14ac:dyDescent="0.4">
      <c r="B29" s="110"/>
      <c r="C29" s="190" t="s">
        <v>182</v>
      </c>
      <c r="D29" s="191"/>
      <c r="E29" s="185" t="s">
        <v>179</v>
      </c>
      <c r="F29" s="186"/>
      <c r="G29" s="113"/>
      <c r="H29" s="114"/>
    </row>
    <row r="30" spans="2:8" ht="30" customHeight="1" x14ac:dyDescent="0.4">
      <c r="B30" s="110"/>
      <c r="C30" s="190" t="s">
        <v>183</v>
      </c>
      <c r="D30" s="191"/>
      <c r="E30" s="185" t="s">
        <v>180</v>
      </c>
      <c r="F30" s="186"/>
      <c r="G30" s="113"/>
      <c r="H30" s="114"/>
    </row>
    <row r="31" spans="2:8" ht="35.25" customHeight="1" x14ac:dyDescent="0.4">
      <c r="B31" s="110"/>
      <c r="C31" s="190" t="s">
        <v>184</v>
      </c>
      <c r="D31" s="191"/>
      <c r="E31" s="185" t="s">
        <v>185</v>
      </c>
      <c r="F31" s="186"/>
      <c r="G31" s="113"/>
      <c r="H31" s="114"/>
    </row>
    <row r="32" spans="2:8" ht="31.5" customHeight="1" x14ac:dyDescent="0.4">
      <c r="B32" s="110"/>
      <c r="C32" s="190" t="s">
        <v>186</v>
      </c>
      <c r="D32" s="191"/>
      <c r="E32" s="185" t="s">
        <v>187</v>
      </c>
      <c r="F32" s="186"/>
      <c r="G32" s="113"/>
      <c r="H32" s="114"/>
    </row>
    <row r="33" spans="2:8" ht="35.25" customHeight="1" x14ac:dyDescent="0.4">
      <c r="B33" s="110"/>
      <c r="C33" s="190" t="s">
        <v>188</v>
      </c>
      <c r="D33" s="191"/>
      <c r="E33" s="185" t="s">
        <v>189</v>
      </c>
      <c r="F33" s="186"/>
      <c r="G33" s="113"/>
      <c r="H33" s="114"/>
    </row>
    <row r="34" spans="2:8" ht="59.25" customHeight="1" x14ac:dyDescent="0.4">
      <c r="B34" s="110"/>
      <c r="C34" s="190" t="s">
        <v>190</v>
      </c>
      <c r="D34" s="191"/>
      <c r="E34" s="185" t="s">
        <v>191</v>
      </c>
      <c r="F34" s="186"/>
      <c r="G34" s="113"/>
      <c r="H34" s="114"/>
    </row>
    <row r="35" spans="2:8" ht="29.25" customHeight="1" x14ac:dyDescent="0.4">
      <c r="B35" s="110"/>
      <c r="C35" s="190" t="s">
        <v>29</v>
      </c>
      <c r="D35" s="191"/>
      <c r="E35" s="185" t="s">
        <v>192</v>
      </c>
      <c r="F35" s="186"/>
      <c r="G35" s="113"/>
      <c r="H35" s="114"/>
    </row>
    <row r="36" spans="2:8" ht="82.5" customHeight="1" x14ac:dyDescent="0.4">
      <c r="B36" s="110"/>
      <c r="C36" s="190" t="s">
        <v>194</v>
      </c>
      <c r="D36" s="191"/>
      <c r="E36" s="185" t="s">
        <v>193</v>
      </c>
      <c r="F36" s="186"/>
      <c r="G36" s="113"/>
      <c r="H36" s="114"/>
    </row>
    <row r="37" spans="2:8" ht="46.5" customHeight="1" x14ac:dyDescent="0.4">
      <c r="B37" s="110"/>
      <c r="C37" s="190" t="s">
        <v>39</v>
      </c>
      <c r="D37" s="191"/>
      <c r="E37" s="185" t="s">
        <v>195</v>
      </c>
      <c r="F37" s="186"/>
      <c r="G37" s="113"/>
      <c r="H37" s="114"/>
    </row>
    <row r="38" spans="2:8" ht="6.75" customHeight="1" thickBot="1" x14ac:dyDescent="0.45">
      <c r="B38" s="110"/>
      <c r="C38" s="192"/>
      <c r="D38" s="193"/>
      <c r="E38" s="194"/>
      <c r="F38" s="195"/>
      <c r="G38" s="113"/>
      <c r="H38" s="114"/>
    </row>
    <row r="39" spans="2:8" ht="15" thickTop="1" x14ac:dyDescent="0.4">
      <c r="B39" s="110"/>
      <c r="C39" s="111"/>
      <c r="D39" s="111"/>
      <c r="E39" s="112"/>
      <c r="F39" s="112"/>
      <c r="G39" s="113"/>
      <c r="H39" s="114"/>
    </row>
    <row r="40" spans="2:8" ht="21" customHeight="1" x14ac:dyDescent="0.4">
      <c r="B40" s="187" t="s">
        <v>204</v>
      </c>
      <c r="C40" s="188"/>
      <c r="D40" s="188"/>
      <c r="E40" s="188"/>
      <c r="F40" s="188"/>
      <c r="G40" s="188"/>
      <c r="H40" s="189"/>
    </row>
    <row r="41" spans="2:8" ht="20.25" customHeight="1" x14ac:dyDescent="0.4">
      <c r="B41" s="187" t="s">
        <v>205</v>
      </c>
      <c r="C41" s="188"/>
      <c r="D41" s="188"/>
      <c r="E41" s="188"/>
      <c r="F41" s="188"/>
      <c r="G41" s="188"/>
      <c r="H41" s="189"/>
    </row>
    <row r="42" spans="2:8" ht="20.25" customHeight="1" x14ac:dyDescent="0.4">
      <c r="B42" s="187" t="s">
        <v>206</v>
      </c>
      <c r="C42" s="188"/>
      <c r="D42" s="188"/>
      <c r="E42" s="188"/>
      <c r="F42" s="188"/>
      <c r="G42" s="188"/>
      <c r="H42" s="189"/>
    </row>
    <row r="43" spans="2:8" ht="20.25" customHeight="1" x14ac:dyDescent="0.4">
      <c r="B43" s="187" t="s">
        <v>207</v>
      </c>
      <c r="C43" s="188"/>
      <c r="D43" s="188"/>
      <c r="E43" s="188"/>
      <c r="F43" s="188"/>
      <c r="G43" s="188"/>
      <c r="H43" s="189"/>
    </row>
    <row r="44" spans="2:8" x14ac:dyDescent="0.4">
      <c r="B44" s="187" t="s">
        <v>208</v>
      </c>
      <c r="C44" s="188"/>
      <c r="D44" s="188"/>
      <c r="E44" s="188"/>
      <c r="F44" s="188"/>
      <c r="G44" s="188"/>
      <c r="H44" s="189"/>
    </row>
    <row r="45" spans="2:8" ht="15" thickBot="1" x14ac:dyDescent="0.45">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47"/>
  <sheetViews>
    <sheetView tabSelected="1" zoomScale="73" zoomScaleNormal="73" workbookViewId="0">
      <selection activeCell="AD4" sqref="AD4"/>
    </sheetView>
  </sheetViews>
  <sheetFormatPr baseColWidth="10" defaultColWidth="11.3828125" defaultRowHeight="14.15" x14ac:dyDescent="0.35"/>
  <cols>
    <col min="1" max="1" width="4" style="2" bestFit="1" customWidth="1"/>
    <col min="2" max="2" width="14.15234375" style="2" customWidth="1"/>
    <col min="3" max="3" width="17.84375" style="2" customWidth="1"/>
    <col min="4" max="4" width="22.15234375" style="2" customWidth="1"/>
    <col min="5" max="5" width="32.3828125" style="1" customWidth="1"/>
    <col min="6" max="6" width="19" style="5" customWidth="1"/>
    <col min="7" max="7" width="17.84375" style="1" customWidth="1"/>
    <col min="8" max="8" width="16.53515625" style="1" customWidth="1"/>
    <col min="9" max="9" width="6.3046875" style="1" bestFit="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5.15234375" style="1" bestFit="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1" customWidth="1"/>
    <col min="32" max="32" width="18.84375" style="1" customWidth="1"/>
    <col min="33" max="33" width="16.84375" style="1" customWidth="1"/>
    <col min="34" max="34" width="14.84375" style="1" customWidth="1"/>
    <col min="35" max="35" width="18.53515625" style="1" customWidth="1"/>
    <col min="36" max="36" width="21" style="3" customWidth="1"/>
    <col min="37" max="16384" width="11.3828125" style="1"/>
  </cols>
  <sheetData>
    <row r="1" spans="1:68" ht="16.5" customHeight="1" x14ac:dyDescent="0.35">
      <c r="A1" s="246" t="s">
        <v>144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26"/>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5">
      <c r="A4" s="205" t="s">
        <v>43</v>
      </c>
      <c r="B4" s="206"/>
      <c r="C4" s="218" t="s">
        <v>214</v>
      </c>
      <c r="D4" s="219"/>
      <c r="E4" s="219"/>
      <c r="F4" s="219"/>
      <c r="G4" s="219"/>
      <c r="H4" s="219"/>
      <c r="I4" s="219"/>
      <c r="J4" s="219"/>
      <c r="K4" s="219"/>
      <c r="L4" s="219"/>
      <c r="M4" s="219"/>
      <c r="N4" s="220"/>
      <c r="O4" s="221"/>
      <c r="P4" s="221"/>
      <c r="Q4" s="221"/>
      <c r="R4" s="8"/>
      <c r="S4" s="8"/>
      <c r="T4" s="8"/>
      <c r="U4" s="8"/>
      <c r="V4" s="8"/>
      <c r="W4" s="8"/>
      <c r="X4" s="8"/>
      <c r="Y4" s="8"/>
      <c r="Z4" s="8"/>
      <c r="AA4" s="8"/>
      <c r="AB4" s="8"/>
      <c r="AC4" s="8"/>
      <c r="AD4" s="8"/>
      <c r="AE4" s="8"/>
      <c r="AF4" s="8"/>
      <c r="AG4" s="8"/>
      <c r="AH4" s="8"/>
      <c r="AI4" s="8"/>
      <c r="AJ4" s="26"/>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51.75" customHeight="1" x14ac:dyDescent="0.35">
      <c r="A5" s="205" t="s">
        <v>130</v>
      </c>
      <c r="B5" s="206"/>
      <c r="C5" s="212" t="s">
        <v>247</v>
      </c>
      <c r="D5" s="213"/>
      <c r="E5" s="213"/>
      <c r="F5" s="213"/>
      <c r="G5" s="213"/>
      <c r="H5" s="213"/>
      <c r="I5" s="213"/>
      <c r="J5" s="213"/>
      <c r="K5" s="213"/>
      <c r="L5" s="213"/>
      <c r="M5" s="213"/>
      <c r="N5" s="214"/>
      <c r="O5" s="8"/>
      <c r="P5" s="8"/>
      <c r="Q5" s="8"/>
      <c r="R5" s="8"/>
      <c r="S5" s="8"/>
      <c r="T5" s="8"/>
      <c r="U5" s="8"/>
      <c r="V5" s="8"/>
      <c r="W5" s="8"/>
      <c r="X5" s="8"/>
      <c r="Y5" s="8"/>
      <c r="Z5" s="8"/>
      <c r="AA5" s="8"/>
      <c r="AB5" s="8"/>
      <c r="AC5" s="8"/>
      <c r="AD5" s="8"/>
      <c r="AE5" s="8"/>
      <c r="AF5" s="8"/>
      <c r="AG5" s="8"/>
      <c r="AH5" s="8"/>
      <c r="AI5" s="8"/>
      <c r="AJ5" s="26"/>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05" t="s">
        <v>44</v>
      </c>
      <c r="B6" s="206"/>
      <c r="C6" s="215" t="s">
        <v>215</v>
      </c>
      <c r="D6" s="216"/>
      <c r="E6" s="216"/>
      <c r="F6" s="216"/>
      <c r="G6" s="216"/>
      <c r="H6" s="216"/>
      <c r="I6" s="216"/>
      <c r="J6" s="216"/>
      <c r="K6" s="216"/>
      <c r="L6" s="216"/>
      <c r="M6" s="216"/>
      <c r="N6" s="217"/>
      <c r="O6" s="8"/>
      <c r="P6" s="8"/>
      <c r="Q6" s="8"/>
      <c r="R6" s="8"/>
      <c r="S6" s="8"/>
      <c r="T6" s="8"/>
      <c r="U6" s="8"/>
      <c r="V6" s="8"/>
      <c r="W6" s="8"/>
      <c r="X6" s="8"/>
      <c r="Y6" s="8"/>
      <c r="Z6" s="8"/>
      <c r="AA6" s="8"/>
      <c r="AB6" s="8"/>
      <c r="AC6" s="8"/>
      <c r="AD6" s="8"/>
      <c r="AE6" s="8"/>
      <c r="AF6" s="8"/>
      <c r="AG6" s="8"/>
      <c r="AH6" s="8"/>
      <c r="AI6" s="8"/>
      <c r="AJ6" s="26"/>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252" t="s">
        <v>139</v>
      </c>
      <c r="B7" s="253"/>
      <c r="C7" s="253"/>
      <c r="D7" s="253"/>
      <c r="E7" s="253"/>
      <c r="F7" s="253"/>
      <c r="G7" s="254"/>
      <c r="H7" s="252" t="s">
        <v>140</v>
      </c>
      <c r="I7" s="253"/>
      <c r="J7" s="253"/>
      <c r="K7" s="253"/>
      <c r="L7" s="253"/>
      <c r="M7" s="253"/>
      <c r="N7" s="254"/>
      <c r="O7" s="252" t="s">
        <v>141</v>
      </c>
      <c r="P7" s="253"/>
      <c r="Q7" s="253"/>
      <c r="R7" s="253"/>
      <c r="S7" s="253"/>
      <c r="T7" s="253"/>
      <c r="U7" s="253"/>
      <c r="V7" s="253"/>
      <c r="W7" s="254"/>
      <c r="X7" s="252" t="s">
        <v>142</v>
      </c>
      <c r="Y7" s="253"/>
      <c r="Z7" s="253"/>
      <c r="AA7" s="253"/>
      <c r="AB7" s="253"/>
      <c r="AC7" s="253"/>
      <c r="AD7" s="254"/>
      <c r="AE7" s="252" t="s">
        <v>34</v>
      </c>
      <c r="AF7" s="253"/>
      <c r="AG7" s="253"/>
      <c r="AH7" s="253"/>
      <c r="AI7" s="253"/>
      <c r="AJ7" s="25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07" t="s">
        <v>0</v>
      </c>
      <c r="B8" s="203" t="s">
        <v>2</v>
      </c>
      <c r="C8" s="197" t="s">
        <v>3</v>
      </c>
      <c r="D8" s="197" t="s">
        <v>42</v>
      </c>
      <c r="E8" s="209" t="s">
        <v>1</v>
      </c>
      <c r="F8" s="204" t="s">
        <v>50</v>
      </c>
      <c r="G8" s="197" t="s">
        <v>135</v>
      </c>
      <c r="H8" s="199" t="s">
        <v>33</v>
      </c>
      <c r="I8" s="200" t="s">
        <v>5</v>
      </c>
      <c r="J8" s="204" t="s">
        <v>87</v>
      </c>
      <c r="K8" s="204" t="s">
        <v>92</v>
      </c>
      <c r="L8" s="202" t="s">
        <v>45</v>
      </c>
      <c r="M8" s="200" t="s">
        <v>5</v>
      </c>
      <c r="N8" s="197" t="s">
        <v>48</v>
      </c>
      <c r="O8" s="210" t="s">
        <v>11</v>
      </c>
      <c r="P8" s="198" t="s">
        <v>163</v>
      </c>
      <c r="Q8" s="204" t="s">
        <v>12</v>
      </c>
      <c r="R8" s="198" t="s">
        <v>8</v>
      </c>
      <c r="S8" s="198"/>
      <c r="T8" s="198"/>
      <c r="U8" s="198"/>
      <c r="V8" s="198"/>
      <c r="W8" s="198"/>
      <c r="X8" s="196" t="s">
        <v>138</v>
      </c>
      <c r="Y8" s="196" t="s">
        <v>46</v>
      </c>
      <c r="Z8" s="196" t="s">
        <v>5</v>
      </c>
      <c r="AA8" s="196" t="s">
        <v>47</v>
      </c>
      <c r="AB8" s="196" t="s">
        <v>5</v>
      </c>
      <c r="AC8" s="196" t="s">
        <v>49</v>
      </c>
      <c r="AD8" s="210" t="s">
        <v>29</v>
      </c>
      <c r="AE8" s="198" t="s">
        <v>34</v>
      </c>
      <c r="AF8" s="198" t="s">
        <v>35</v>
      </c>
      <c r="AG8" s="198" t="s">
        <v>36</v>
      </c>
      <c r="AH8" s="198" t="s">
        <v>38</v>
      </c>
      <c r="AI8" s="198" t="s">
        <v>37</v>
      </c>
      <c r="AJ8" s="19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08"/>
      <c r="B9" s="203"/>
      <c r="C9" s="198"/>
      <c r="D9" s="198"/>
      <c r="E9" s="203"/>
      <c r="F9" s="197"/>
      <c r="G9" s="198"/>
      <c r="H9" s="197"/>
      <c r="I9" s="201"/>
      <c r="J9" s="197"/>
      <c r="K9" s="197"/>
      <c r="L9" s="201"/>
      <c r="M9" s="201"/>
      <c r="N9" s="198"/>
      <c r="O9" s="211"/>
      <c r="P9" s="198"/>
      <c r="Q9" s="197"/>
      <c r="R9" s="7" t="s">
        <v>13</v>
      </c>
      <c r="S9" s="7" t="s">
        <v>17</v>
      </c>
      <c r="T9" s="7" t="s">
        <v>28</v>
      </c>
      <c r="U9" s="7" t="s">
        <v>18</v>
      </c>
      <c r="V9" s="7" t="s">
        <v>21</v>
      </c>
      <c r="W9" s="7" t="s">
        <v>24</v>
      </c>
      <c r="X9" s="196"/>
      <c r="Y9" s="196"/>
      <c r="Z9" s="196"/>
      <c r="AA9" s="196"/>
      <c r="AB9" s="196"/>
      <c r="AC9" s="196"/>
      <c r="AD9" s="211"/>
      <c r="AE9" s="198"/>
      <c r="AF9" s="198"/>
      <c r="AG9" s="198"/>
      <c r="AH9" s="198"/>
      <c r="AI9" s="198"/>
      <c r="AJ9" s="19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0.75" customHeight="1" x14ac:dyDescent="0.4">
      <c r="A10" s="143">
        <v>1</v>
      </c>
      <c r="B10" s="140" t="s">
        <v>134</v>
      </c>
      <c r="C10" s="140"/>
      <c r="D10" s="140" t="s">
        <v>217</v>
      </c>
      <c r="E10" s="144" t="s">
        <v>216</v>
      </c>
      <c r="F10" s="140" t="s">
        <v>123</v>
      </c>
      <c r="G10" s="141" t="s">
        <v>225</v>
      </c>
      <c r="H10" s="142" t="s">
        <v>218</v>
      </c>
      <c r="I10" s="146">
        <f t="shared" ref="I10:I15" si="0">IF(H10="","",IF(H10="Muy Baja",0.2,IF(H10="Baja",0.4,IF(H10="Media",0.6,IF(H10="Alta",0.8,IF(H10="Muy Alta",1,))))))</f>
        <v>0.4</v>
      </c>
      <c r="J10" s="147" t="s">
        <v>90</v>
      </c>
      <c r="K10" s="146" t="str">
        <f ca="1">IF(NOT(ISERROR(MATCH(J10,'Tabla Impacto'!$B$221:$B$223,0))),'Tabla Impacto'!$F$223&amp;"Por favor no seleccionar los criterios de impacto(Afectación Económica o presupuestal y Pérdida Reputacional)",J10)</f>
        <v>Afectación Económica o presupuestal</v>
      </c>
      <c r="L10" s="142" t="s">
        <v>219</v>
      </c>
      <c r="M10" s="146">
        <f t="shared" ref="M10:M15" si="1">IF(L10="","",IF(L10="Leve",0.2,IF(L10="Menor",0.4,IF(L10="Moderado",0.6,IF(L10="Mayor",0.8,IF(L10="Catastrófico",1,))))))</f>
        <v>0.8</v>
      </c>
      <c r="N10" s="145" t="str">
        <f t="shared" ref="N10:N15"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48" t="s">
        <v>220</v>
      </c>
      <c r="Q10" s="127" t="s">
        <v>221</v>
      </c>
      <c r="R10" s="128" t="s">
        <v>15</v>
      </c>
      <c r="S10" s="128" t="s">
        <v>9</v>
      </c>
      <c r="T10" s="129" t="str">
        <f t="shared" ref="T10:T15" si="3">IF(AND(R10="Preventivo",S10="Automático"),"50%",IF(AND(R10="Preventivo",S10="Manual"),"40%",IF(AND(R10="Detectivo",S10="Automático"),"40%",IF(AND(R10="Detectivo",S10="Manual"),"30%",IF(AND(R10="Correctivo",S10="Automático"),"35%",IF(AND(R10="Correctivo",S10="Manual"),"25%",""))))))</f>
        <v>30%</v>
      </c>
      <c r="U10" s="128" t="s">
        <v>20</v>
      </c>
      <c r="V10" s="128" t="s">
        <v>22</v>
      </c>
      <c r="W10" s="128" t="s">
        <v>120</v>
      </c>
      <c r="X10" s="130">
        <f t="shared" ref="X10:X15" si="4">IFERROR(IF(Q10="Probabilidad",(I10-(+I10*T10)),IF(Q10="Impacto",I10,"")),"")</f>
        <v>0.28000000000000003</v>
      </c>
      <c r="Y10" s="131" t="str">
        <f t="shared" ref="Y10:Y15" si="5">IFERROR(IF(X10="","",IF(X10&lt;=0.2,"Muy Baja",IF(X10&lt;=0.4,"Baja",IF(X10&lt;=0.6,"Media",IF(X10&lt;=0.8,"Alta","Muy Alta"))))),"")</f>
        <v>Baja</v>
      </c>
      <c r="Z10" s="132">
        <f t="shared" ref="Z10:Z15" si="6">+X10</f>
        <v>0.28000000000000003</v>
      </c>
      <c r="AA10" s="131" t="str">
        <f t="shared" ref="AA10:AA15" si="7">IFERROR(IF(AB10="","",IF(AB10&lt;=0.2,"Leve",IF(AB10&lt;=0.4,"Menor",IF(AB10&lt;=0.6,"Moderado",IF(AB10&lt;=0.8,"Mayor","Catastrófico"))))),"")</f>
        <v>Mayor</v>
      </c>
      <c r="AB10" s="132">
        <f t="shared" ref="AB10:AB15" si="8">IFERROR(IF(Q10="Impacto",(M10-(+M10*T10)),IF(Q10="Probabilidad",M10,"")),"")</f>
        <v>0.8</v>
      </c>
      <c r="AC10" s="133" t="str">
        <f t="shared" ref="AC10:AC15"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32</v>
      </c>
      <c r="AE10" s="148" t="s">
        <v>222</v>
      </c>
      <c r="AF10" s="149" t="s">
        <v>223</v>
      </c>
      <c r="AG10" s="149" t="s">
        <v>224</v>
      </c>
      <c r="AH10" s="149" t="s">
        <v>248</v>
      </c>
      <c r="AI10" s="149" t="s">
        <v>249</v>
      </c>
      <c r="AJ10" s="411"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81.5" customHeight="1" x14ac:dyDescent="0.35">
      <c r="A11" s="143">
        <v>2</v>
      </c>
      <c r="B11" s="140" t="s">
        <v>134</v>
      </c>
      <c r="C11" s="140"/>
      <c r="D11" s="140" t="s">
        <v>227</v>
      </c>
      <c r="E11" s="144" t="s">
        <v>226</v>
      </c>
      <c r="F11" s="140" t="s">
        <v>123</v>
      </c>
      <c r="G11" s="141" t="s">
        <v>225</v>
      </c>
      <c r="H11" s="142" t="s">
        <v>218</v>
      </c>
      <c r="I11" s="146">
        <f t="shared" si="0"/>
        <v>0.4</v>
      </c>
      <c r="J11" s="147" t="s">
        <v>90</v>
      </c>
      <c r="K11" s="146" t="str">
        <f ca="1">IF(NOT(ISERROR(MATCH(J11,'Tabla Impacto'!$B$221:$B$223,0))),'Tabla Impacto'!$F$223&amp;"Por favor no seleccionar los criterios de impacto(Afectación Económica o presupuestal y Pérdida Reputacional)",J11)</f>
        <v>Afectación Económica o presupuestal</v>
      </c>
      <c r="L11" s="142" t="s">
        <v>219</v>
      </c>
      <c r="M11" s="146">
        <f t="shared" si="1"/>
        <v>0.8</v>
      </c>
      <c r="N11" s="145" t="str">
        <f t="shared" si="2"/>
        <v>Alto</v>
      </c>
      <c r="O11" s="125">
        <v>1</v>
      </c>
      <c r="P11" s="150" t="s">
        <v>228</v>
      </c>
      <c r="Q11" s="127" t="s">
        <v>221</v>
      </c>
      <c r="R11" s="128" t="s">
        <v>15</v>
      </c>
      <c r="S11" s="128" t="s">
        <v>9</v>
      </c>
      <c r="T11" s="129" t="str">
        <f t="shared" si="3"/>
        <v>30%</v>
      </c>
      <c r="U11" s="128" t="s">
        <v>20</v>
      </c>
      <c r="V11" s="128" t="s">
        <v>22</v>
      </c>
      <c r="W11" s="128" t="s">
        <v>120</v>
      </c>
      <c r="X11" s="130">
        <f t="shared" si="4"/>
        <v>0.28000000000000003</v>
      </c>
      <c r="Y11" s="131" t="str">
        <f t="shared" si="5"/>
        <v>Baja</v>
      </c>
      <c r="Z11" s="132">
        <f t="shared" si="6"/>
        <v>0.28000000000000003</v>
      </c>
      <c r="AA11" s="131" t="str">
        <f t="shared" si="7"/>
        <v>Mayor</v>
      </c>
      <c r="AB11" s="139">
        <f t="shared" si="8"/>
        <v>0.8</v>
      </c>
      <c r="AC11" s="133" t="str">
        <f t="shared" si="9"/>
        <v>Alto</v>
      </c>
      <c r="AD11" s="134" t="s">
        <v>32</v>
      </c>
      <c r="AE11" s="148" t="s">
        <v>229</v>
      </c>
      <c r="AF11" s="149" t="s">
        <v>223</v>
      </c>
      <c r="AG11" s="149" t="s">
        <v>224</v>
      </c>
      <c r="AH11" s="149" t="s">
        <v>248</v>
      </c>
      <c r="AI11" s="149" t="s">
        <v>250</v>
      </c>
      <c r="AJ11" s="411" t="s">
        <v>40</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6" customHeight="1" x14ac:dyDescent="0.35">
      <c r="A12" s="143">
        <v>3</v>
      </c>
      <c r="B12" s="140" t="s">
        <v>134</v>
      </c>
      <c r="C12" s="140"/>
      <c r="D12" s="151" t="s">
        <v>231</v>
      </c>
      <c r="E12" s="152" t="s">
        <v>230</v>
      </c>
      <c r="F12" s="140" t="s">
        <v>123</v>
      </c>
      <c r="G12" s="141" t="s">
        <v>225</v>
      </c>
      <c r="H12" s="142" t="s">
        <v>232</v>
      </c>
      <c r="I12" s="146">
        <f t="shared" si="0"/>
        <v>0.8</v>
      </c>
      <c r="J12" s="147" t="s">
        <v>90</v>
      </c>
      <c r="K12" s="146" t="str">
        <f ca="1">IF(NOT(ISERROR(MATCH(J12,'Tabla Impacto'!$B$221:$B$223,0))),'Tabla Impacto'!$F$223&amp;"Por favor no seleccionar los criterios de impacto(Afectación Económica o presupuestal y Pérdida Reputacional)",J12)</f>
        <v>Afectación Económica o presupuestal</v>
      </c>
      <c r="L12" s="142" t="s">
        <v>219</v>
      </c>
      <c r="M12" s="146">
        <f t="shared" si="1"/>
        <v>0.8</v>
      </c>
      <c r="N12" s="145" t="str">
        <f t="shared" si="2"/>
        <v>Alto</v>
      </c>
      <c r="O12" s="125">
        <v>1</v>
      </c>
      <c r="P12" s="151" t="s">
        <v>233</v>
      </c>
      <c r="Q12" s="127" t="s">
        <v>221</v>
      </c>
      <c r="R12" s="128" t="s">
        <v>14</v>
      </c>
      <c r="S12" s="128" t="s">
        <v>9</v>
      </c>
      <c r="T12" s="129" t="str">
        <f t="shared" si="3"/>
        <v>40%</v>
      </c>
      <c r="U12" s="128" t="s">
        <v>20</v>
      </c>
      <c r="V12" s="128" t="s">
        <v>22</v>
      </c>
      <c r="W12" s="128" t="s">
        <v>120</v>
      </c>
      <c r="X12" s="130">
        <f t="shared" si="4"/>
        <v>0.48</v>
      </c>
      <c r="Y12" s="131" t="str">
        <f t="shared" si="5"/>
        <v>Media</v>
      </c>
      <c r="Z12" s="132">
        <f t="shared" si="6"/>
        <v>0.48</v>
      </c>
      <c r="AA12" s="131" t="str">
        <f t="shared" si="7"/>
        <v>Mayor</v>
      </c>
      <c r="AB12" s="139">
        <f t="shared" si="8"/>
        <v>0.8</v>
      </c>
      <c r="AC12" s="133" t="str">
        <f t="shared" si="9"/>
        <v>Alto</v>
      </c>
      <c r="AD12" s="134" t="s">
        <v>32</v>
      </c>
      <c r="AE12" s="153" t="s">
        <v>234</v>
      </c>
      <c r="AF12" s="154" t="s">
        <v>235</v>
      </c>
      <c r="AG12" s="154" t="s">
        <v>224</v>
      </c>
      <c r="AH12" s="149" t="s">
        <v>248</v>
      </c>
      <c r="AI12" s="149" t="s">
        <v>251</v>
      </c>
      <c r="AJ12" s="411" t="s">
        <v>40</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25" customHeight="1" x14ac:dyDescent="0.35">
      <c r="A13" s="143">
        <v>4</v>
      </c>
      <c r="B13" s="140" t="s">
        <v>132</v>
      </c>
      <c r="C13" s="140"/>
      <c r="D13" s="140" t="s">
        <v>237</v>
      </c>
      <c r="E13" s="144" t="s">
        <v>236</v>
      </c>
      <c r="F13" s="140" t="s">
        <v>123</v>
      </c>
      <c r="G13" s="141" t="s">
        <v>225</v>
      </c>
      <c r="H13" s="142" t="s">
        <v>238</v>
      </c>
      <c r="I13" s="146">
        <f t="shared" si="0"/>
        <v>0.6</v>
      </c>
      <c r="J13" s="147"/>
      <c r="K13" s="146">
        <f ca="1">IF(NOT(ISERROR(MATCH(J13,'Tabla Impacto'!$B$221:$B$223,0))),'Tabla Impacto'!$F$223&amp;"Por favor no seleccionar los criterios de impacto(Afectación Económica o presupuestal y Pérdida Reputacional)",J13)</f>
        <v>0</v>
      </c>
      <c r="L13" s="142" t="s">
        <v>239</v>
      </c>
      <c r="M13" s="146">
        <f t="shared" si="1"/>
        <v>0.6</v>
      </c>
      <c r="N13" s="145" t="str">
        <f t="shared" si="2"/>
        <v>Moderado</v>
      </c>
      <c r="O13" s="125">
        <v>1</v>
      </c>
      <c r="P13" s="155" t="s">
        <v>240</v>
      </c>
      <c r="Q13" s="127" t="s">
        <v>221</v>
      </c>
      <c r="R13" s="128" t="s">
        <v>14</v>
      </c>
      <c r="S13" s="128" t="s">
        <v>9</v>
      </c>
      <c r="T13" s="129" t="str">
        <f t="shared" si="3"/>
        <v>40%</v>
      </c>
      <c r="U13" s="128" t="s">
        <v>20</v>
      </c>
      <c r="V13" s="128" t="s">
        <v>22</v>
      </c>
      <c r="W13" s="128" t="s">
        <v>120</v>
      </c>
      <c r="X13" s="130">
        <f t="shared" si="4"/>
        <v>0.36</v>
      </c>
      <c r="Y13" s="131" t="str">
        <f t="shared" si="5"/>
        <v>Baja</v>
      </c>
      <c r="Z13" s="132">
        <f t="shared" si="6"/>
        <v>0.36</v>
      </c>
      <c r="AA13" s="131" t="str">
        <f t="shared" si="7"/>
        <v>Moderado</v>
      </c>
      <c r="AB13" s="139">
        <f t="shared" si="8"/>
        <v>0.6</v>
      </c>
      <c r="AC13" s="133" t="str">
        <f t="shared" si="9"/>
        <v>Moderado</v>
      </c>
      <c r="AD13" s="134" t="s">
        <v>32</v>
      </c>
      <c r="AE13" s="155" t="s">
        <v>241</v>
      </c>
      <c r="AF13" s="154" t="s">
        <v>235</v>
      </c>
      <c r="AG13" s="154" t="s">
        <v>224</v>
      </c>
      <c r="AH13" s="149" t="s">
        <v>248</v>
      </c>
      <c r="AI13" s="410" t="s">
        <v>252</v>
      </c>
      <c r="AJ13" s="411" t="s">
        <v>40</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3.75" customHeight="1" x14ac:dyDescent="0.35">
      <c r="A14" s="143">
        <v>5</v>
      </c>
      <c r="B14" s="140" t="s">
        <v>132</v>
      </c>
      <c r="C14" s="140"/>
      <c r="D14" s="140" t="s">
        <v>243</v>
      </c>
      <c r="E14" s="144" t="s">
        <v>242</v>
      </c>
      <c r="F14" s="140" t="s">
        <v>123</v>
      </c>
      <c r="G14" s="141" t="s">
        <v>225</v>
      </c>
      <c r="H14" s="142" t="s">
        <v>244</v>
      </c>
      <c r="I14" s="146">
        <f t="shared" si="0"/>
        <v>0.2</v>
      </c>
      <c r="J14" s="147"/>
      <c r="K14" s="146">
        <f ca="1">IF(NOT(ISERROR(MATCH(J14,'Tabla Impacto'!$B$221:$B$223,0))),'Tabla Impacto'!$F$223&amp;"Por favor no seleccionar los criterios de impacto(Afectación Económica o presupuestal y Pérdida Reputacional)",J14)</f>
        <v>0</v>
      </c>
      <c r="L14" s="142" t="s">
        <v>219</v>
      </c>
      <c r="M14" s="146">
        <f t="shared" si="1"/>
        <v>0.8</v>
      </c>
      <c r="N14" s="145" t="str">
        <f t="shared" si="2"/>
        <v>Alto</v>
      </c>
      <c r="O14" s="125">
        <v>1</v>
      </c>
      <c r="P14" s="156" t="s">
        <v>245</v>
      </c>
      <c r="Q14" s="127" t="s">
        <v>221</v>
      </c>
      <c r="R14" s="128" t="s">
        <v>14</v>
      </c>
      <c r="S14" s="128" t="s">
        <v>9</v>
      </c>
      <c r="T14" s="129" t="str">
        <f t="shared" si="3"/>
        <v>40%</v>
      </c>
      <c r="U14" s="128" t="s">
        <v>20</v>
      </c>
      <c r="V14" s="128" t="s">
        <v>22</v>
      </c>
      <c r="W14" s="128" t="s">
        <v>120</v>
      </c>
      <c r="X14" s="130">
        <f t="shared" si="4"/>
        <v>0.12</v>
      </c>
      <c r="Y14" s="131" t="str">
        <f t="shared" si="5"/>
        <v>Muy Baja</v>
      </c>
      <c r="Z14" s="132">
        <f t="shared" si="6"/>
        <v>0.12</v>
      </c>
      <c r="AA14" s="131" t="str">
        <f t="shared" si="7"/>
        <v>Mayor</v>
      </c>
      <c r="AB14" s="139">
        <f t="shared" si="8"/>
        <v>0.8</v>
      </c>
      <c r="AC14" s="133" t="str">
        <f t="shared" si="9"/>
        <v>Alto</v>
      </c>
      <c r="AD14" s="134" t="s">
        <v>32</v>
      </c>
      <c r="AE14" s="155" t="s">
        <v>246</v>
      </c>
      <c r="AF14" s="154" t="s">
        <v>235</v>
      </c>
      <c r="AG14" s="154" t="s">
        <v>224</v>
      </c>
      <c r="AH14" s="149" t="s">
        <v>248</v>
      </c>
      <c r="AI14" s="410" t="s">
        <v>253</v>
      </c>
      <c r="AJ14" s="411" t="s">
        <v>40</v>
      </c>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34">
        <v>6</v>
      </c>
      <c r="B15" s="237"/>
      <c r="C15" s="237"/>
      <c r="D15" s="237"/>
      <c r="E15" s="240"/>
      <c r="F15" s="237"/>
      <c r="G15" s="243"/>
      <c r="H15" s="231" t="str">
        <f>IF(G15&lt;=0,"",IF(G15&lt;=2,"Muy Baja",IF(G15&lt;=24,"Baja",IF(G15&lt;=500,"Media",IF(G15&lt;=5000,"Alta","Muy Alta")))))</f>
        <v/>
      </c>
      <c r="I15" s="222" t="str">
        <f t="shared" si="0"/>
        <v/>
      </c>
      <c r="J15" s="228"/>
      <c r="K15" s="222">
        <f ca="1">IF(NOT(ISERROR(MATCH(J15,'Tabla Impacto'!$B$221:$B$223,0))),'Tabla Impacto'!$F$223&amp;"Por favor no seleccionar los criterios de impacto(Afectación Económica o presupuestal y Pérdida Reputacional)",J15)</f>
        <v>0</v>
      </c>
      <c r="L15" s="231" t="str">
        <f ca="1">IF(OR(K15='Tabla Impacto'!$C$11,K15='Tabla Impacto'!$D$11),"Leve",IF(OR(K15='Tabla Impacto'!$C$12,K15='Tabla Impacto'!$D$12),"Menor",IF(OR(K15='Tabla Impacto'!$C$13,K15='Tabla Impacto'!$D$13),"Moderado",IF(OR(K15='Tabla Impacto'!$C$14,K15='Tabla Impacto'!$D$14),"Mayor",IF(OR(K15='Tabla Impacto'!$C$15,K15='Tabla Impacto'!$D$15),"Catastrófico","")))))</f>
        <v/>
      </c>
      <c r="M15" s="222" t="str">
        <f t="shared" ca="1" si="1"/>
        <v/>
      </c>
      <c r="N15" s="225" t="str">
        <f t="shared" ca="1" si="2"/>
        <v/>
      </c>
      <c r="O15" s="125">
        <v>1</v>
      </c>
      <c r="P15" s="126"/>
      <c r="Q15" s="127" t="str">
        <f>IF(OR(R15="Preventivo",R15="Detectivo"),"Probabilidad",IF(R15="Correctivo","Impacto",""))</f>
        <v/>
      </c>
      <c r="R15" s="128"/>
      <c r="S15" s="128"/>
      <c r="T15" s="129" t="str">
        <f t="shared" si="3"/>
        <v/>
      </c>
      <c r="U15" s="128"/>
      <c r="V15" s="128"/>
      <c r="W15" s="128"/>
      <c r="X15" s="130" t="str">
        <f t="shared" si="4"/>
        <v/>
      </c>
      <c r="Y15" s="131" t="str">
        <f t="shared" si="5"/>
        <v/>
      </c>
      <c r="Z15" s="132" t="str">
        <f t="shared" si="6"/>
        <v/>
      </c>
      <c r="AA15" s="131" t="str">
        <f t="shared" si="7"/>
        <v/>
      </c>
      <c r="AB15" s="139" t="str">
        <f t="shared" si="8"/>
        <v/>
      </c>
      <c r="AC15" s="133" t="str">
        <f t="shared" si="9"/>
        <v/>
      </c>
      <c r="AD15" s="134"/>
      <c r="AE15" s="135"/>
      <c r="AF15" s="136"/>
      <c r="AG15" s="137"/>
      <c r="AH15" s="137"/>
      <c r="AI15" s="135"/>
      <c r="AJ15" s="411"/>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35"/>
      <c r="B16" s="238"/>
      <c r="C16" s="238"/>
      <c r="D16" s="238"/>
      <c r="E16" s="241"/>
      <c r="F16" s="238"/>
      <c r="G16" s="244"/>
      <c r="H16" s="232"/>
      <c r="I16" s="223"/>
      <c r="J16" s="229"/>
      <c r="K16" s="223">
        <f t="shared" ref="K16:K20" ca="1" si="10">IF(NOT(ISERROR(MATCH(J16,_xlfn.ANCHORARRAY(E27),0))),I29&amp;"Por favor no seleccionar los criterios de impacto",J16)</f>
        <v>0</v>
      </c>
      <c r="L16" s="232"/>
      <c r="M16" s="223"/>
      <c r="N16" s="226"/>
      <c r="O16" s="125">
        <v>2</v>
      </c>
      <c r="P16" s="126"/>
      <c r="Q16" s="127" t="str">
        <f>IF(OR(R16="Preventivo",R16="Detectivo"),"Probabilidad",IF(R16="Correctivo","Impacto",""))</f>
        <v/>
      </c>
      <c r="R16" s="128"/>
      <c r="S16" s="128"/>
      <c r="T16" s="129" t="str">
        <f t="shared" ref="T16:T20" si="11">IF(AND(R16="Preventivo",S16="Automático"),"50%",IF(AND(R16="Preventivo",S16="Manual"),"40%",IF(AND(R16="Detectivo",S16="Automático"),"40%",IF(AND(R16="Detectivo",S16="Manual"),"30%",IF(AND(R16="Correctivo",S16="Automático"),"35%",IF(AND(R16="Correctivo",S16="Manual"),"25%",""))))))</f>
        <v/>
      </c>
      <c r="U16" s="128"/>
      <c r="V16" s="128"/>
      <c r="W16" s="128"/>
      <c r="X16" s="130" t="str">
        <f>IFERROR(IF(AND(Q15="Probabilidad",Q16="Probabilidad"),(Z15-(+Z15*T16)),IF(Q16="Probabilidad",(I15-(+I15*T16)),IF(Q16="Impacto",Z15,""))),"")</f>
        <v/>
      </c>
      <c r="Y16" s="131" t="str">
        <f t="shared" ref="Y16:Y44" si="12">IFERROR(IF(X16="","",IF(X16&lt;=0.2,"Muy Baja",IF(X16&lt;=0.4,"Baja",IF(X16&lt;=0.6,"Media",IF(X16&lt;=0.8,"Alta","Muy Alta"))))),"")</f>
        <v/>
      </c>
      <c r="Z16" s="132" t="str">
        <f t="shared" ref="Z16:Z20" si="13">+X16</f>
        <v/>
      </c>
      <c r="AA16" s="131" t="str">
        <f t="shared" ref="AA16:AA44" si="14">IFERROR(IF(AB16="","",IF(AB16&lt;=0.2,"Leve",IF(AB16&lt;=0.4,"Menor",IF(AB16&lt;=0.6,"Moderado",IF(AB16&lt;=0.8,"Mayor","Catastrófico"))))),"")</f>
        <v/>
      </c>
      <c r="AB16" s="139" t="str">
        <f>IFERROR(IF(AND(Q15="Impacto",Q16="Impacto"),(AB15-(+AB15*T16)),IF(Q16="Impacto",(M15-(+M15*T16)),IF(Q16="Probabilidad",AB15,""))),"")</f>
        <v/>
      </c>
      <c r="AC16" s="133" t="str">
        <f t="shared" ref="AC16:AC17" si="1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411"/>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35"/>
      <c r="B17" s="238"/>
      <c r="C17" s="238"/>
      <c r="D17" s="238"/>
      <c r="E17" s="241"/>
      <c r="F17" s="238"/>
      <c r="G17" s="244"/>
      <c r="H17" s="232"/>
      <c r="I17" s="223"/>
      <c r="J17" s="229"/>
      <c r="K17" s="223">
        <f t="shared" ca="1" si="10"/>
        <v>0</v>
      </c>
      <c r="L17" s="232"/>
      <c r="M17" s="223"/>
      <c r="N17" s="226"/>
      <c r="O17" s="125">
        <v>3</v>
      </c>
      <c r="P17" s="138"/>
      <c r="Q17" s="127" t="str">
        <f>IF(OR(R17="Preventivo",R17="Detectivo"),"Probabilidad",IF(R17="Correctivo","Impacto",""))</f>
        <v/>
      </c>
      <c r="R17" s="128"/>
      <c r="S17" s="128"/>
      <c r="T17" s="129" t="str">
        <f t="shared" si="11"/>
        <v/>
      </c>
      <c r="U17" s="128"/>
      <c r="V17" s="128"/>
      <c r="W17" s="128"/>
      <c r="X17" s="130" t="str">
        <f>IFERROR(IF(AND(Q16="Probabilidad",Q17="Probabilidad"),(Z16-(+Z16*T17)),IF(AND(Q16="Impacto",Q17="Probabilidad"),(Z15-(+Z15*T17)),IF(Q17="Impacto",Z16,""))),"")</f>
        <v/>
      </c>
      <c r="Y17" s="131" t="str">
        <f t="shared" si="12"/>
        <v/>
      </c>
      <c r="Z17" s="132" t="str">
        <f t="shared" si="13"/>
        <v/>
      </c>
      <c r="AA17" s="131" t="str">
        <f t="shared" si="14"/>
        <v/>
      </c>
      <c r="AB17" s="139" t="str">
        <f>IFERROR(IF(AND(Q16="Impacto",Q17="Impacto"),(AB16-(+AB16*T17)),IF(AND(Q16="Probabilidad",Q17="Impacto"),(AB15-(+AB15*T17)),IF(Q17="Probabilidad",AB16,""))),"")</f>
        <v/>
      </c>
      <c r="AC17" s="133" t="str">
        <f t="shared" si="15"/>
        <v/>
      </c>
      <c r="AD17" s="134"/>
      <c r="AE17" s="135"/>
      <c r="AF17" s="136"/>
      <c r="AG17" s="137"/>
      <c r="AH17" s="137"/>
      <c r="AI17" s="135"/>
      <c r="AJ17" s="411"/>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35"/>
      <c r="B18" s="238"/>
      <c r="C18" s="238"/>
      <c r="D18" s="238"/>
      <c r="E18" s="241"/>
      <c r="F18" s="238"/>
      <c r="G18" s="244"/>
      <c r="H18" s="232"/>
      <c r="I18" s="223"/>
      <c r="J18" s="229"/>
      <c r="K18" s="223">
        <f t="shared" ca="1" si="10"/>
        <v>0</v>
      </c>
      <c r="L18" s="232"/>
      <c r="M18" s="223"/>
      <c r="N18" s="226"/>
      <c r="O18" s="125">
        <v>4</v>
      </c>
      <c r="P18" s="126"/>
      <c r="Q18" s="127" t="str">
        <f t="shared" ref="Q18:Q20" si="16">IF(OR(R18="Preventivo",R18="Detectivo"),"Probabilidad",IF(R18="Correctivo","Impacto",""))</f>
        <v/>
      </c>
      <c r="R18" s="128"/>
      <c r="S18" s="128"/>
      <c r="T18" s="129" t="str">
        <f t="shared" si="11"/>
        <v/>
      </c>
      <c r="U18" s="128"/>
      <c r="V18" s="128"/>
      <c r="W18" s="128"/>
      <c r="X18" s="130" t="str">
        <f t="shared" ref="X18:X20" si="17">IFERROR(IF(AND(Q17="Probabilidad",Q18="Probabilidad"),(Z17-(+Z17*T18)),IF(AND(Q17="Impacto",Q18="Probabilidad"),(Z16-(+Z16*T18)),IF(Q18="Impacto",Z17,""))),"")</f>
        <v/>
      </c>
      <c r="Y18" s="131" t="str">
        <f t="shared" si="12"/>
        <v/>
      </c>
      <c r="Z18" s="132" t="str">
        <f t="shared" si="13"/>
        <v/>
      </c>
      <c r="AA18" s="131" t="str">
        <f t="shared" si="14"/>
        <v/>
      </c>
      <c r="AB18" s="139" t="str">
        <f t="shared" ref="AB18:AB20" si="18">IFERROR(IF(AND(Q17="Impacto",Q18="Impacto"),(AB17-(+AB17*T18)),IF(AND(Q17="Probabilidad",Q18="Impacto"),(AB16-(+AB16*T18)),IF(Q18="Probabilidad",AB17,""))),"")</f>
        <v/>
      </c>
      <c r="AC18" s="13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4"/>
      <c r="AE18" s="135"/>
      <c r="AF18" s="136"/>
      <c r="AG18" s="137"/>
      <c r="AH18" s="137"/>
      <c r="AI18" s="135"/>
      <c r="AJ18" s="411"/>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35"/>
      <c r="B19" s="238"/>
      <c r="C19" s="238"/>
      <c r="D19" s="238"/>
      <c r="E19" s="241"/>
      <c r="F19" s="238"/>
      <c r="G19" s="244"/>
      <c r="H19" s="232"/>
      <c r="I19" s="223"/>
      <c r="J19" s="229"/>
      <c r="K19" s="223">
        <f t="shared" ca="1" si="10"/>
        <v>0</v>
      </c>
      <c r="L19" s="232"/>
      <c r="M19" s="223"/>
      <c r="N19" s="226"/>
      <c r="O19" s="125">
        <v>5</v>
      </c>
      <c r="P19" s="126"/>
      <c r="Q19" s="127" t="str">
        <f t="shared" si="16"/>
        <v/>
      </c>
      <c r="R19" s="128"/>
      <c r="S19" s="128"/>
      <c r="T19" s="129" t="str">
        <f t="shared" si="11"/>
        <v/>
      </c>
      <c r="U19" s="128"/>
      <c r="V19" s="128"/>
      <c r="W19" s="128"/>
      <c r="X19" s="130" t="str">
        <f t="shared" si="17"/>
        <v/>
      </c>
      <c r="Y19" s="131" t="str">
        <f t="shared" si="12"/>
        <v/>
      </c>
      <c r="Z19" s="132" t="str">
        <f t="shared" si="13"/>
        <v/>
      </c>
      <c r="AA19" s="131" t="str">
        <f t="shared" si="14"/>
        <v/>
      </c>
      <c r="AB19" s="139" t="str">
        <f t="shared" si="18"/>
        <v/>
      </c>
      <c r="AC19" s="133" t="str">
        <f t="shared" ref="AC19" si="1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411"/>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36"/>
      <c r="B20" s="239"/>
      <c r="C20" s="239"/>
      <c r="D20" s="239"/>
      <c r="E20" s="242"/>
      <c r="F20" s="239"/>
      <c r="G20" s="245"/>
      <c r="H20" s="233"/>
      <c r="I20" s="224"/>
      <c r="J20" s="230"/>
      <c r="K20" s="224">
        <f t="shared" ca="1" si="10"/>
        <v>0</v>
      </c>
      <c r="L20" s="233"/>
      <c r="M20" s="224"/>
      <c r="N20" s="227"/>
      <c r="O20" s="125">
        <v>6</v>
      </c>
      <c r="P20" s="126"/>
      <c r="Q20" s="127" t="str">
        <f t="shared" si="16"/>
        <v/>
      </c>
      <c r="R20" s="128"/>
      <c r="S20" s="128"/>
      <c r="T20" s="129" t="str">
        <f t="shared" si="11"/>
        <v/>
      </c>
      <c r="U20" s="128"/>
      <c r="V20" s="128"/>
      <c r="W20" s="128"/>
      <c r="X20" s="130" t="str">
        <f t="shared" si="17"/>
        <v/>
      </c>
      <c r="Y20" s="131" t="str">
        <f t="shared" si="12"/>
        <v/>
      </c>
      <c r="Z20" s="132" t="str">
        <f t="shared" si="13"/>
        <v/>
      </c>
      <c r="AA20" s="131" t="str">
        <f>IFERROR(IF(AB20="","",IF(AB20&lt;=0.2,"Leve",IF(AB20&lt;=0.4,"Menor",IF(AB20&lt;=0.6,"Moderado",IF(AB20&lt;=0.8,"Mayor","Catastrófico"))))),"")</f>
        <v/>
      </c>
      <c r="AB20" s="139" t="str">
        <f t="shared" si="18"/>
        <v/>
      </c>
      <c r="AC20" s="13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411"/>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34">
        <v>7</v>
      </c>
      <c r="B21" s="237"/>
      <c r="C21" s="237"/>
      <c r="D21" s="237"/>
      <c r="E21" s="240"/>
      <c r="F21" s="237"/>
      <c r="G21" s="243"/>
      <c r="H21" s="231" t="str">
        <f>IF(G21&lt;=0,"",IF(G21&lt;=2,"Muy Baja",IF(G21&lt;=24,"Baja",IF(G21&lt;=500,"Media",IF(G21&lt;=5000,"Alta","Muy Alta")))))</f>
        <v/>
      </c>
      <c r="I21" s="222" t="str">
        <f>IF(H21="","",IF(H21="Muy Baja",0.2,IF(H21="Baja",0.4,IF(H21="Media",0.6,IF(H21="Alta",0.8,IF(H21="Muy Alta",1,))))))</f>
        <v/>
      </c>
      <c r="J21" s="228"/>
      <c r="K21" s="222">
        <f ca="1">IF(NOT(ISERROR(MATCH(J21,'Tabla Impacto'!$B$221:$B$223,0))),'Tabla Impacto'!$F$223&amp;"Por favor no seleccionar los criterios de impacto(Afectación Económica o presupuestal y Pérdida Reputacional)",J21)</f>
        <v>0</v>
      </c>
      <c r="L21" s="231" t="str">
        <f ca="1">IF(OR(K21='Tabla Impacto'!$C$11,K21='Tabla Impacto'!$D$11),"Leve",IF(OR(K21='Tabla Impacto'!$C$12,K21='Tabla Impacto'!$D$12),"Menor",IF(OR(K21='Tabla Impacto'!$C$13,K21='Tabla Impacto'!$D$13),"Moderado",IF(OR(K21='Tabla Impacto'!$C$14,K21='Tabla Impacto'!$D$14),"Mayor",IF(OR(K21='Tabla Impacto'!$C$15,K21='Tabla Impacto'!$D$15),"Catastrófico","")))))</f>
        <v/>
      </c>
      <c r="M21" s="222" t="str">
        <f ca="1">IF(L21="","",IF(L21="Leve",0.2,IF(L21="Menor",0.4,IF(L21="Moderado",0.6,IF(L21="Mayor",0.8,IF(L21="Catastrófico",1,))))))</f>
        <v/>
      </c>
      <c r="N21" s="225" t="str">
        <f ca="1">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
      </c>
      <c r="O21" s="125">
        <v>1</v>
      </c>
      <c r="P21" s="126"/>
      <c r="Q21" s="127" t="str">
        <f>IF(OR(R21="Preventivo",R21="Detectivo"),"Probabilidad",IF(R21="Correctivo","Impacto",""))</f>
        <v/>
      </c>
      <c r="R21" s="128"/>
      <c r="S21" s="128"/>
      <c r="T21" s="129" t="str">
        <f>IF(AND(R21="Preventivo",S21="Automático"),"50%",IF(AND(R21="Preventivo",S21="Manual"),"40%",IF(AND(R21="Detectivo",S21="Automático"),"40%",IF(AND(R21="Detectivo",S21="Manual"),"30%",IF(AND(R21="Correctivo",S21="Automático"),"35%",IF(AND(R21="Correctivo",S21="Manual"),"25%",""))))))</f>
        <v/>
      </c>
      <c r="U21" s="128"/>
      <c r="V21" s="128"/>
      <c r="W21" s="128"/>
      <c r="X21" s="130" t="str">
        <f>IFERROR(IF(Q21="Probabilidad",(I21-(+I21*T21)),IF(Q21="Impacto",I21,"")),"")</f>
        <v/>
      </c>
      <c r="Y21" s="131" t="str">
        <f>IFERROR(IF(X21="","",IF(X21&lt;=0.2,"Muy Baja",IF(X21&lt;=0.4,"Baja",IF(X21&lt;=0.6,"Media",IF(X21&lt;=0.8,"Alta","Muy Alta"))))),"")</f>
        <v/>
      </c>
      <c r="Z21" s="132" t="str">
        <f>+X21</f>
        <v/>
      </c>
      <c r="AA21" s="131" t="str">
        <f>IFERROR(IF(AB21="","",IF(AB21&lt;=0.2,"Leve",IF(AB21&lt;=0.4,"Menor",IF(AB21&lt;=0.6,"Moderado",IF(AB21&lt;=0.8,"Mayor","Catastrófico"))))),"")</f>
        <v/>
      </c>
      <c r="AB21" s="139" t="str">
        <f>IFERROR(IF(Q21="Impacto",(M21-(+M21*T21)),IF(Q21="Probabilidad",M21,"")),"")</f>
        <v/>
      </c>
      <c r="AC21" s="13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4"/>
      <c r="AE21" s="135"/>
      <c r="AF21" s="136"/>
      <c r="AG21" s="137"/>
      <c r="AH21" s="137"/>
      <c r="AI21" s="135"/>
      <c r="AJ21" s="411"/>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35"/>
      <c r="B22" s="238"/>
      <c r="C22" s="238"/>
      <c r="D22" s="238"/>
      <c r="E22" s="241"/>
      <c r="F22" s="238"/>
      <c r="G22" s="244"/>
      <c r="H22" s="232"/>
      <c r="I22" s="223"/>
      <c r="J22" s="229"/>
      <c r="K22" s="223">
        <f t="shared" ref="K22:K26" ca="1" si="20">IF(NOT(ISERROR(MATCH(J22,_xlfn.ANCHORARRAY(E33),0))),I35&amp;"Por favor no seleccionar los criterios de impacto",J22)</f>
        <v>0</v>
      </c>
      <c r="L22" s="232"/>
      <c r="M22" s="223"/>
      <c r="N22" s="226"/>
      <c r="O22" s="125">
        <v>2</v>
      </c>
      <c r="P22" s="126"/>
      <c r="Q22" s="127" t="str">
        <f>IF(OR(R22="Preventivo",R22="Detectivo"),"Probabilidad",IF(R22="Correctivo","Impacto",""))</f>
        <v/>
      </c>
      <c r="R22" s="128"/>
      <c r="S22" s="128"/>
      <c r="T22" s="129" t="str">
        <f t="shared" ref="T22:T26" si="21">IF(AND(R22="Preventivo",S22="Automático"),"50%",IF(AND(R22="Preventivo",S22="Manual"),"40%",IF(AND(R22="Detectivo",S22="Automático"),"40%",IF(AND(R22="Detectivo",S22="Manual"),"30%",IF(AND(R22="Correctivo",S22="Automático"),"35%",IF(AND(R22="Correctivo",S22="Manual"),"25%",""))))))</f>
        <v/>
      </c>
      <c r="U22" s="128"/>
      <c r="V22" s="128"/>
      <c r="W22" s="128"/>
      <c r="X22" s="130" t="str">
        <f>IFERROR(IF(AND(Q21="Probabilidad",Q22="Probabilidad"),(Z21-(+Z21*T22)),IF(Q22="Probabilidad",(I21-(+I21*T22)),IF(Q22="Impacto",Z21,""))),"")</f>
        <v/>
      </c>
      <c r="Y22" s="131" t="str">
        <f t="shared" si="12"/>
        <v/>
      </c>
      <c r="Z22" s="132" t="str">
        <f t="shared" ref="Z22:Z26" si="22">+X22</f>
        <v/>
      </c>
      <c r="AA22" s="131" t="str">
        <f t="shared" si="14"/>
        <v/>
      </c>
      <c r="AB22" s="139" t="str">
        <f>IFERROR(IF(AND(Q21="Impacto",Q22="Impacto"),(AB21-(+AB21*T22)),IF(Q22="Impacto",(M21-(+M21*T22)),IF(Q22="Probabilidad",AB21,""))),"")</f>
        <v/>
      </c>
      <c r="AC22" s="133" t="str">
        <f t="shared" ref="AC22:AC23" si="2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411"/>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35"/>
      <c r="B23" s="238"/>
      <c r="C23" s="238"/>
      <c r="D23" s="238"/>
      <c r="E23" s="241"/>
      <c r="F23" s="238"/>
      <c r="G23" s="244"/>
      <c r="H23" s="232"/>
      <c r="I23" s="223"/>
      <c r="J23" s="229"/>
      <c r="K23" s="223">
        <f t="shared" ca="1" si="20"/>
        <v>0</v>
      </c>
      <c r="L23" s="232"/>
      <c r="M23" s="223"/>
      <c r="N23" s="226"/>
      <c r="O23" s="125">
        <v>3</v>
      </c>
      <c r="P23" s="138"/>
      <c r="Q23" s="127" t="str">
        <f>IF(OR(R23="Preventivo",R23="Detectivo"),"Probabilidad",IF(R23="Correctivo","Impacto",""))</f>
        <v/>
      </c>
      <c r="R23" s="128"/>
      <c r="S23" s="128"/>
      <c r="T23" s="129" t="str">
        <f t="shared" si="21"/>
        <v/>
      </c>
      <c r="U23" s="128"/>
      <c r="V23" s="128"/>
      <c r="W23" s="128"/>
      <c r="X23" s="130" t="str">
        <f>IFERROR(IF(AND(Q22="Probabilidad",Q23="Probabilidad"),(Z22-(+Z22*T23)),IF(AND(Q22="Impacto",Q23="Probabilidad"),(Z21-(+Z21*T23)),IF(Q23="Impacto",Z22,""))),"")</f>
        <v/>
      </c>
      <c r="Y23" s="131" t="str">
        <f t="shared" si="12"/>
        <v/>
      </c>
      <c r="Z23" s="132" t="str">
        <f t="shared" si="22"/>
        <v/>
      </c>
      <c r="AA23" s="131" t="str">
        <f t="shared" si="14"/>
        <v/>
      </c>
      <c r="AB23" s="139" t="str">
        <f>IFERROR(IF(AND(Q22="Impacto",Q23="Impacto"),(AB22-(+AB22*T23)),IF(AND(Q22="Probabilidad",Q23="Impacto"),(AB21-(+AB21*T23)),IF(Q23="Probabilidad",AB22,""))),"")</f>
        <v/>
      </c>
      <c r="AC23" s="133" t="str">
        <f t="shared" si="23"/>
        <v/>
      </c>
      <c r="AD23" s="134"/>
      <c r="AE23" s="135"/>
      <c r="AF23" s="136"/>
      <c r="AG23" s="137"/>
      <c r="AH23" s="137"/>
      <c r="AI23" s="135"/>
      <c r="AJ23" s="411"/>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35"/>
      <c r="B24" s="238"/>
      <c r="C24" s="238"/>
      <c r="D24" s="238"/>
      <c r="E24" s="241"/>
      <c r="F24" s="238"/>
      <c r="G24" s="244"/>
      <c r="H24" s="232"/>
      <c r="I24" s="223"/>
      <c r="J24" s="229"/>
      <c r="K24" s="223">
        <f t="shared" ca="1" si="20"/>
        <v>0</v>
      </c>
      <c r="L24" s="232"/>
      <c r="M24" s="223"/>
      <c r="N24" s="226"/>
      <c r="O24" s="125">
        <v>4</v>
      </c>
      <c r="P24" s="126"/>
      <c r="Q24" s="127" t="str">
        <f t="shared" ref="Q24:Q26" si="24">IF(OR(R24="Preventivo",R24="Detectivo"),"Probabilidad",IF(R24="Correctivo","Impacto",""))</f>
        <v/>
      </c>
      <c r="R24" s="128"/>
      <c r="S24" s="128"/>
      <c r="T24" s="129" t="str">
        <f t="shared" si="21"/>
        <v/>
      </c>
      <c r="U24" s="128"/>
      <c r="V24" s="128"/>
      <c r="W24" s="128"/>
      <c r="X24" s="130" t="str">
        <f t="shared" ref="X24:X26" si="25">IFERROR(IF(AND(Q23="Probabilidad",Q24="Probabilidad"),(Z23-(+Z23*T24)),IF(AND(Q23="Impacto",Q24="Probabilidad"),(Z22-(+Z22*T24)),IF(Q24="Impacto",Z23,""))),"")</f>
        <v/>
      </c>
      <c r="Y24" s="131" t="str">
        <f t="shared" si="12"/>
        <v/>
      </c>
      <c r="Z24" s="132" t="str">
        <f t="shared" si="22"/>
        <v/>
      </c>
      <c r="AA24" s="131" t="str">
        <f t="shared" si="14"/>
        <v/>
      </c>
      <c r="AB24" s="139" t="str">
        <f t="shared" ref="AB24:AB26" si="26">IFERROR(IF(AND(Q23="Impacto",Q24="Impacto"),(AB23-(+AB23*T24)),IF(AND(Q23="Probabilidad",Q24="Impacto"),(AB22-(+AB22*T24)),IF(Q24="Probabilidad",AB23,""))),"")</f>
        <v/>
      </c>
      <c r="AC24" s="133"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4"/>
      <c r="AE24" s="135"/>
      <c r="AF24" s="136"/>
      <c r="AG24" s="137"/>
      <c r="AH24" s="137"/>
      <c r="AI24" s="135"/>
      <c r="AJ24" s="411"/>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35"/>
      <c r="B25" s="238"/>
      <c r="C25" s="238"/>
      <c r="D25" s="238"/>
      <c r="E25" s="241"/>
      <c r="F25" s="238"/>
      <c r="G25" s="244"/>
      <c r="H25" s="232"/>
      <c r="I25" s="223"/>
      <c r="J25" s="229"/>
      <c r="K25" s="223">
        <f t="shared" ca="1" si="20"/>
        <v>0</v>
      </c>
      <c r="L25" s="232"/>
      <c r="M25" s="223"/>
      <c r="N25" s="226"/>
      <c r="O25" s="125">
        <v>5</v>
      </c>
      <c r="P25" s="126"/>
      <c r="Q25" s="127" t="str">
        <f t="shared" si="24"/>
        <v/>
      </c>
      <c r="R25" s="128"/>
      <c r="S25" s="128"/>
      <c r="T25" s="129" t="str">
        <f t="shared" si="21"/>
        <v/>
      </c>
      <c r="U25" s="128"/>
      <c r="V25" s="128"/>
      <c r="W25" s="128"/>
      <c r="X25" s="130" t="str">
        <f t="shared" si="25"/>
        <v/>
      </c>
      <c r="Y25" s="131" t="str">
        <f t="shared" si="12"/>
        <v/>
      </c>
      <c r="Z25" s="132" t="str">
        <f t="shared" si="22"/>
        <v/>
      </c>
      <c r="AA25" s="131" t="str">
        <f t="shared" si="14"/>
        <v/>
      </c>
      <c r="AB25" s="139" t="str">
        <f t="shared" si="26"/>
        <v/>
      </c>
      <c r="AC25" s="133" t="str">
        <f t="shared" ref="AC25:AC26" si="2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411"/>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36"/>
      <c r="B26" s="239"/>
      <c r="C26" s="239"/>
      <c r="D26" s="239"/>
      <c r="E26" s="242"/>
      <c r="F26" s="239"/>
      <c r="G26" s="245"/>
      <c r="H26" s="233"/>
      <c r="I26" s="224"/>
      <c r="J26" s="230"/>
      <c r="K26" s="224">
        <f t="shared" ca="1" si="20"/>
        <v>0</v>
      </c>
      <c r="L26" s="233"/>
      <c r="M26" s="224"/>
      <c r="N26" s="227"/>
      <c r="O26" s="125">
        <v>6</v>
      </c>
      <c r="P26" s="126"/>
      <c r="Q26" s="127" t="str">
        <f t="shared" si="24"/>
        <v/>
      </c>
      <c r="R26" s="128"/>
      <c r="S26" s="128"/>
      <c r="T26" s="129" t="str">
        <f t="shared" si="21"/>
        <v/>
      </c>
      <c r="U26" s="128"/>
      <c r="V26" s="128"/>
      <c r="W26" s="128"/>
      <c r="X26" s="130" t="str">
        <f t="shared" si="25"/>
        <v/>
      </c>
      <c r="Y26" s="131" t="str">
        <f t="shared" si="12"/>
        <v/>
      </c>
      <c r="Z26" s="132" t="str">
        <f t="shared" si="22"/>
        <v/>
      </c>
      <c r="AA26" s="131" t="str">
        <f t="shared" si="14"/>
        <v/>
      </c>
      <c r="AB26" s="139" t="str">
        <f t="shared" si="26"/>
        <v/>
      </c>
      <c r="AC26" s="133" t="str">
        <f t="shared" si="27"/>
        <v/>
      </c>
      <c r="AD26" s="134"/>
      <c r="AE26" s="135"/>
      <c r="AF26" s="136"/>
      <c r="AG26" s="137"/>
      <c r="AH26" s="137"/>
      <c r="AI26" s="135"/>
      <c r="AJ26" s="411"/>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34">
        <v>8</v>
      </c>
      <c r="B27" s="237"/>
      <c r="C27" s="237"/>
      <c r="D27" s="237"/>
      <c r="E27" s="240"/>
      <c r="F27" s="237"/>
      <c r="G27" s="243"/>
      <c r="H27" s="231" t="str">
        <f>IF(G27&lt;=0,"",IF(G27&lt;=2,"Muy Baja",IF(G27&lt;=24,"Baja",IF(G27&lt;=500,"Media",IF(G27&lt;=5000,"Alta","Muy Alta")))))</f>
        <v/>
      </c>
      <c r="I27" s="222" t="str">
        <f>IF(H27="","",IF(H27="Muy Baja",0.2,IF(H27="Baja",0.4,IF(H27="Media",0.6,IF(H27="Alta",0.8,IF(H27="Muy Alta",1,))))))</f>
        <v/>
      </c>
      <c r="J27" s="228"/>
      <c r="K27" s="222">
        <f ca="1">IF(NOT(ISERROR(MATCH(J27,'Tabla Impacto'!$B$221:$B$223,0))),'Tabla Impacto'!$F$223&amp;"Por favor no seleccionar los criterios de impacto(Afectación Económica o presupuestal y Pérdida Reputacional)",J27)</f>
        <v>0</v>
      </c>
      <c r="L27" s="231" t="str">
        <f ca="1">IF(OR(K27='Tabla Impacto'!$C$11,K27='Tabla Impacto'!$D$11),"Leve",IF(OR(K27='Tabla Impacto'!$C$12,K27='Tabla Impacto'!$D$12),"Menor",IF(OR(K27='Tabla Impacto'!$C$13,K27='Tabla Impacto'!$D$13),"Moderado",IF(OR(K27='Tabla Impacto'!$C$14,K27='Tabla Impacto'!$D$14),"Mayor",IF(OR(K27='Tabla Impacto'!$C$15,K27='Tabla Impacto'!$D$15),"Catastrófico","")))))</f>
        <v/>
      </c>
      <c r="M27" s="222" t="str">
        <f ca="1">IF(L27="","",IF(L27="Leve",0.2,IF(L27="Menor",0.4,IF(L27="Moderado",0.6,IF(L27="Mayor",0.8,IF(L27="Catastrófico",1,))))))</f>
        <v/>
      </c>
      <c r="N27" s="225" t="str">
        <f ca="1">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
      </c>
      <c r="O27" s="125">
        <v>1</v>
      </c>
      <c r="P27" s="126"/>
      <c r="Q27" s="127" t="str">
        <f>IF(OR(R27="Preventivo",R27="Detectivo"),"Probabilidad",IF(R27="Correctivo","Impacto",""))</f>
        <v/>
      </c>
      <c r="R27" s="128"/>
      <c r="S27" s="128"/>
      <c r="T27" s="129" t="str">
        <f>IF(AND(R27="Preventivo",S27="Automático"),"50%",IF(AND(R27="Preventivo",S27="Manual"),"40%",IF(AND(R27="Detectivo",S27="Automático"),"40%",IF(AND(R27="Detectivo",S27="Manual"),"30%",IF(AND(R27="Correctivo",S27="Automático"),"35%",IF(AND(R27="Correctivo",S27="Manual"),"25%",""))))))</f>
        <v/>
      </c>
      <c r="U27" s="128"/>
      <c r="V27" s="128"/>
      <c r="W27" s="128"/>
      <c r="X27" s="130" t="str">
        <f>IFERROR(IF(Q27="Probabilidad",(I27-(+I27*T27)),IF(Q27="Impacto",I27,"")),"")</f>
        <v/>
      </c>
      <c r="Y27" s="131" t="str">
        <f>IFERROR(IF(X27="","",IF(X27&lt;=0.2,"Muy Baja",IF(X27&lt;=0.4,"Baja",IF(X27&lt;=0.6,"Media",IF(X27&lt;=0.8,"Alta","Muy Alta"))))),"")</f>
        <v/>
      </c>
      <c r="Z27" s="132" t="str">
        <f>+X27</f>
        <v/>
      </c>
      <c r="AA27" s="131" t="str">
        <f>IFERROR(IF(AB27="","",IF(AB27&lt;=0.2,"Leve",IF(AB27&lt;=0.4,"Menor",IF(AB27&lt;=0.6,"Moderado",IF(AB27&lt;=0.8,"Mayor","Catastrófico"))))),"")</f>
        <v/>
      </c>
      <c r="AB27" s="139" t="str">
        <f>IFERROR(IF(Q27="Impacto",(M27-(+M27*T27)),IF(Q27="Probabilidad",M27,"")),"")</f>
        <v/>
      </c>
      <c r="AC27" s="13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4"/>
      <c r="AE27" s="135"/>
      <c r="AF27" s="136"/>
      <c r="AG27" s="137"/>
      <c r="AH27" s="137"/>
      <c r="AI27" s="135"/>
      <c r="AJ27" s="411"/>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35"/>
      <c r="B28" s="238"/>
      <c r="C28" s="238"/>
      <c r="D28" s="238"/>
      <c r="E28" s="241"/>
      <c r="F28" s="238"/>
      <c r="G28" s="244"/>
      <c r="H28" s="232"/>
      <c r="I28" s="223"/>
      <c r="J28" s="229"/>
      <c r="K28" s="223">
        <f ca="1">IF(NOT(ISERROR(MATCH(J28,_xlfn.ANCHORARRAY(E39),0))),I41&amp;"Por favor no seleccionar los criterios de impacto",J28)</f>
        <v>0</v>
      </c>
      <c r="L28" s="232"/>
      <c r="M28" s="223"/>
      <c r="N28" s="226"/>
      <c r="O28" s="125">
        <v>2</v>
      </c>
      <c r="P28" s="126"/>
      <c r="Q28" s="127" t="str">
        <f>IF(OR(R28="Preventivo",R28="Detectivo"),"Probabilidad",IF(R28="Correctivo","Impacto",""))</f>
        <v/>
      </c>
      <c r="R28" s="128"/>
      <c r="S28" s="128"/>
      <c r="T28" s="129" t="str">
        <f t="shared" ref="T28:T32" si="28">IF(AND(R28="Preventivo",S28="Automático"),"50%",IF(AND(R28="Preventivo",S28="Manual"),"40%",IF(AND(R28="Detectivo",S28="Automático"),"40%",IF(AND(R28="Detectivo",S28="Manual"),"30%",IF(AND(R28="Correctivo",S28="Automático"),"35%",IF(AND(R28="Correctivo",S28="Manual"),"25%",""))))))</f>
        <v/>
      </c>
      <c r="U28" s="128"/>
      <c r="V28" s="128"/>
      <c r="W28" s="128"/>
      <c r="X28" s="130" t="str">
        <f>IFERROR(IF(AND(Q27="Probabilidad",Q28="Probabilidad"),(Z27-(+Z27*T28)),IF(Q28="Probabilidad",(I27-(+I27*T28)),IF(Q28="Impacto",Z27,""))),"")</f>
        <v/>
      </c>
      <c r="Y28" s="131" t="str">
        <f t="shared" si="12"/>
        <v/>
      </c>
      <c r="Z28" s="132" t="str">
        <f t="shared" ref="Z28:Z32" si="29">+X28</f>
        <v/>
      </c>
      <c r="AA28" s="131" t="str">
        <f t="shared" si="14"/>
        <v/>
      </c>
      <c r="AB28" s="139" t="str">
        <f>IFERROR(IF(AND(Q27="Impacto",Q28="Impacto"),(AB27-(+AB27*T28)),IF(Q28="Impacto",(M27-(+M27*T28)),IF(Q28="Probabilidad",AB27,""))),"")</f>
        <v/>
      </c>
      <c r="AC28" s="133" t="str">
        <f t="shared" ref="AC28:AC29" si="3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411"/>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35"/>
      <c r="B29" s="238"/>
      <c r="C29" s="238"/>
      <c r="D29" s="238"/>
      <c r="E29" s="241"/>
      <c r="F29" s="238"/>
      <c r="G29" s="244"/>
      <c r="H29" s="232"/>
      <c r="I29" s="223"/>
      <c r="J29" s="229"/>
      <c r="K29" s="223">
        <f ca="1">IF(NOT(ISERROR(MATCH(J29,_xlfn.ANCHORARRAY(E40),0))),I42&amp;"Por favor no seleccionar los criterios de impacto",J29)</f>
        <v>0</v>
      </c>
      <c r="L29" s="232"/>
      <c r="M29" s="223"/>
      <c r="N29" s="226"/>
      <c r="O29" s="125">
        <v>3</v>
      </c>
      <c r="P29" s="138"/>
      <c r="Q29" s="127" t="str">
        <f>IF(OR(R29="Preventivo",R29="Detectivo"),"Probabilidad",IF(R29="Correctivo","Impacto",""))</f>
        <v/>
      </c>
      <c r="R29" s="128"/>
      <c r="S29" s="128"/>
      <c r="T29" s="129" t="str">
        <f t="shared" si="28"/>
        <v/>
      </c>
      <c r="U29" s="128"/>
      <c r="V29" s="128"/>
      <c r="W29" s="128"/>
      <c r="X29" s="130" t="str">
        <f>IFERROR(IF(AND(Q28="Probabilidad",Q29="Probabilidad"),(Z28-(+Z28*T29)),IF(AND(Q28="Impacto",Q29="Probabilidad"),(Z27-(+Z27*T29)),IF(Q29="Impacto",Z28,""))),"")</f>
        <v/>
      </c>
      <c r="Y29" s="131" t="str">
        <f t="shared" si="12"/>
        <v/>
      </c>
      <c r="Z29" s="132" t="str">
        <f t="shared" si="29"/>
        <v/>
      </c>
      <c r="AA29" s="131" t="str">
        <f t="shared" si="14"/>
        <v/>
      </c>
      <c r="AB29" s="139" t="str">
        <f>IFERROR(IF(AND(Q28="Impacto",Q29="Impacto"),(AB28-(+AB28*T29)),IF(AND(Q28="Probabilidad",Q29="Impacto"),(AB27-(+AB27*T29)),IF(Q29="Probabilidad",AB28,""))),"")</f>
        <v/>
      </c>
      <c r="AC29" s="133" t="str">
        <f t="shared" si="30"/>
        <v/>
      </c>
      <c r="AD29" s="134"/>
      <c r="AE29" s="135"/>
      <c r="AF29" s="136"/>
      <c r="AG29" s="137"/>
      <c r="AH29" s="137"/>
      <c r="AI29" s="135"/>
      <c r="AJ29" s="411"/>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35"/>
      <c r="B30" s="238"/>
      <c r="C30" s="238"/>
      <c r="D30" s="238"/>
      <c r="E30" s="241"/>
      <c r="F30" s="238"/>
      <c r="G30" s="244"/>
      <c r="H30" s="232"/>
      <c r="I30" s="223"/>
      <c r="J30" s="229"/>
      <c r="K30" s="223">
        <f ca="1">IF(NOT(ISERROR(MATCH(J30,_xlfn.ANCHORARRAY(E41),0))),I43&amp;"Por favor no seleccionar los criterios de impacto",J30)</f>
        <v>0</v>
      </c>
      <c r="L30" s="232"/>
      <c r="M30" s="223"/>
      <c r="N30" s="226"/>
      <c r="O30" s="125">
        <v>4</v>
      </c>
      <c r="P30" s="126"/>
      <c r="Q30" s="127" t="str">
        <f t="shared" ref="Q30:Q32" si="31">IF(OR(R30="Preventivo",R30="Detectivo"),"Probabilidad",IF(R30="Correctivo","Impacto",""))</f>
        <v/>
      </c>
      <c r="R30" s="128"/>
      <c r="S30" s="128"/>
      <c r="T30" s="129" t="str">
        <f t="shared" si="28"/>
        <v/>
      </c>
      <c r="U30" s="128"/>
      <c r="V30" s="128"/>
      <c r="W30" s="128"/>
      <c r="X30" s="130" t="str">
        <f t="shared" ref="X30:X32" si="32">IFERROR(IF(AND(Q29="Probabilidad",Q30="Probabilidad"),(Z29-(+Z29*T30)),IF(AND(Q29="Impacto",Q30="Probabilidad"),(Z28-(+Z28*T30)),IF(Q30="Impacto",Z29,""))),"")</f>
        <v/>
      </c>
      <c r="Y30" s="131" t="str">
        <f t="shared" si="12"/>
        <v/>
      </c>
      <c r="Z30" s="132" t="str">
        <f t="shared" si="29"/>
        <v/>
      </c>
      <c r="AA30" s="131" t="str">
        <f t="shared" si="14"/>
        <v/>
      </c>
      <c r="AB30" s="139" t="str">
        <f t="shared" ref="AB30:AB32" si="33">IFERROR(IF(AND(Q29="Impacto",Q30="Impacto"),(AB29-(+AB29*T30)),IF(AND(Q29="Probabilidad",Q30="Impacto"),(AB28-(+AB28*T30)),IF(Q30="Probabilidad",AB29,""))),"")</f>
        <v/>
      </c>
      <c r="AC30" s="13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137"/>
      <c r="AI30" s="135"/>
      <c r="AJ30" s="411"/>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35"/>
      <c r="B31" s="238"/>
      <c r="C31" s="238"/>
      <c r="D31" s="238"/>
      <c r="E31" s="241"/>
      <c r="F31" s="238"/>
      <c r="G31" s="244"/>
      <c r="H31" s="232"/>
      <c r="I31" s="223"/>
      <c r="J31" s="229"/>
      <c r="K31" s="223">
        <f ca="1">IF(NOT(ISERROR(MATCH(J31,_xlfn.ANCHORARRAY(E42),0))),I44&amp;"Por favor no seleccionar los criterios de impacto",J31)</f>
        <v>0</v>
      </c>
      <c r="L31" s="232"/>
      <c r="M31" s="223"/>
      <c r="N31" s="226"/>
      <c r="O31" s="125">
        <v>5</v>
      </c>
      <c r="P31" s="126"/>
      <c r="Q31" s="127" t="str">
        <f t="shared" si="31"/>
        <v/>
      </c>
      <c r="R31" s="128"/>
      <c r="S31" s="128"/>
      <c r="T31" s="129" t="str">
        <f t="shared" si="28"/>
        <v/>
      </c>
      <c r="U31" s="128"/>
      <c r="V31" s="128"/>
      <c r="W31" s="128"/>
      <c r="X31" s="130" t="str">
        <f t="shared" si="32"/>
        <v/>
      </c>
      <c r="Y31" s="131" t="str">
        <f t="shared" si="12"/>
        <v/>
      </c>
      <c r="Z31" s="132" t="str">
        <f t="shared" si="29"/>
        <v/>
      </c>
      <c r="AA31" s="131" t="str">
        <f t="shared" si="14"/>
        <v/>
      </c>
      <c r="AB31" s="139" t="str">
        <f t="shared" si="33"/>
        <v/>
      </c>
      <c r="AC31" s="133" t="str">
        <f t="shared" ref="AC31:AC32" si="3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411"/>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36"/>
      <c r="B32" s="239"/>
      <c r="C32" s="239"/>
      <c r="D32" s="239"/>
      <c r="E32" s="242"/>
      <c r="F32" s="239"/>
      <c r="G32" s="245"/>
      <c r="H32" s="233"/>
      <c r="I32" s="224"/>
      <c r="J32" s="230"/>
      <c r="K32" s="224">
        <f ca="1">IF(NOT(ISERROR(MATCH(J32,_xlfn.ANCHORARRAY(E43),0))),I45&amp;"Por favor no seleccionar los criterios de impacto",J32)</f>
        <v>0</v>
      </c>
      <c r="L32" s="233"/>
      <c r="M32" s="224"/>
      <c r="N32" s="227"/>
      <c r="O32" s="125">
        <v>6</v>
      </c>
      <c r="P32" s="126"/>
      <c r="Q32" s="127" t="str">
        <f t="shared" si="31"/>
        <v/>
      </c>
      <c r="R32" s="128"/>
      <c r="S32" s="128"/>
      <c r="T32" s="129" t="str">
        <f t="shared" si="28"/>
        <v/>
      </c>
      <c r="U32" s="128"/>
      <c r="V32" s="128"/>
      <c r="W32" s="128"/>
      <c r="X32" s="130" t="str">
        <f t="shared" si="32"/>
        <v/>
      </c>
      <c r="Y32" s="131" t="str">
        <f t="shared" si="12"/>
        <v/>
      </c>
      <c r="Z32" s="132" t="str">
        <f t="shared" si="29"/>
        <v/>
      </c>
      <c r="AA32" s="131" t="str">
        <f t="shared" si="14"/>
        <v/>
      </c>
      <c r="AB32" s="139" t="str">
        <f t="shared" si="33"/>
        <v/>
      </c>
      <c r="AC32" s="133" t="str">
        <f t="shared" si="34"/>
        <v/>
      </c>
      <c r="AD32" s="134"/>
      <c r="AE32" s="135"/>
      <c r="AF32" s="136"/>
      <c r="AG32" s="137"/>
      <c r="AH32" s="137"/>
      <c r="AI32" s="135"/>
      <c r="AJ32" s="411"/>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34">
        <v>9</v>
      </c>
      <c r="B33" s="237"/>
      <c r="C33" s="237"/>
      <c r="D33" s="237"/>
      <c r="E33" s="240"/>
      <c r="F33" s="237"/>
      <c r="G33" s="243"/>
      <c r="H33" s="231" t="str">
        <f>IF(G33&lt;=0,"",IF(G33&lt;=2,"Muy Baja",IF(G33&lt;=24,"Baja",IF(G33&lt;=500,"Media",IF(G33&lt;=5000,"Alta","Muy Alta")))))</f>
        <v/>
      </c>
      <c r="I33" s="222" t="str">
        <f>IF(H33="","",IF(H33="Muy Baja",0.2,IF(H33="Baja",0.4,IF(H33="Media",0.6,IF(H33="Alta",0.8,IF(H33="Muy Alta",1,))))))</f>
        <v/>
      </c>
      <c r="J33" s="228"/>
      <c r="K33" s="222">
        <f ca="1">IF(NOT(ISERROR(MATCH(J33,'Tabla Impacto'!$B$221:$B$223,0))),'Tabla Impacto'!$F$223&amp;"Por favor no seleccionar los criterios de impacto(Afectación Económica o presupuestal y Pérdida Reputacional)",J33)</f>
        <v>0</v>
      </c>
      <c r="L33" s="231" t="str">
        <f ca="1">IF(OR(K33='Tabla Impacto'!$C$11,K33='Tabla Impacto'!$D$11),"Leve",IF(OR(K33='Tabla Impacto'!$C$12,K33='Tabla Impacto'!$D$12),"Menor",IF(OR(K33='Tabla Impacto'!$C$13,K33='Tabla Impacto'!$D$13),"Moderado",IF(OR(K33='Tabla Impacto'!$C$14,K33='Tabla Impacto'!$D$14),"Mayor",IF(OR(K33='Tabla Impacto'!$C$15,K33='Tabla Impacto'!$D$15),"Catastrófico","")))))</f>
        <v/>
      </c>
      <c r="M33" s="222" t="str">
        <f ca="1">IF(L33="","",IF(L33="Leve",0.2,IF(L33="Menor",0.4,IF(L33="Moderado",0.6,IF(L33="Mayor",0.8,IF(L33="Catastrófico",1,))))))</f>
        <v/>
      </c>
      <c r="N33" s="225" t="str">
        <f ca="1">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
      </c>
      <c r="O33" s="125">
        <v>1</v>
      </c>
      <c r="P33" s="126"/>
      <c r="Q33" s="127" t="str">
        <f>IF(OR(R33="Preventivo",R33="Detectivo"),"Probabilidad",IF(R33="Correctivo","Impacto",""))</f>
        <v/>
      </c>
      <c r="R33" s="128"/>
      <c r="S33" s="128"/>
      <c r="T33" s="129" t="str">
        <f>IF(AND(R33="Preventivo",S33="Automático"),"50%",IF(AND(R33="Preventivo",S33="Manual"),"40%",IF(AND(R33="Detectivo",S33="Automático"),"40%",IF(AND(R33="Detectivo",S33="Manual"),"30%",IF(AND(R33="Correctivo",S33="Automático"),"35%",IF(AND(R33="Correctivo",S33="Manual"),"25%",""))))))</f>
        <v/>
      </c>
      <c r="U33" s="128"/>
      <c r="V33" s="128"/>
      <c r="W33" s="128"/>
      <c r="X33" s="130" t="str">
        <f>IFERROR(IF(Q33="Probabilidad",(I33-(+I33*T33)),IF(Q33="Impacto",I33,"")),"")</f>
        <v/>
      </c>
      <c r="Y33" s="131" t="str">
        <f>IFERROR(IF(X33="","",IF(X33&lt;=0.2,"Muy Baja",IF(X33&lt;=0.4,"Baja",IF(X33&lt;=0.6,"Media",IF(X33&lt;=0.8,"Alta","Muy Alta"))))),"")</f>
        <v/>
      </c>
      <c r="Z33" s="132" t="str">
        <f>+X33</f>
        <v/>
      </c>
      <c r="AA33" s="131" t="str">
        <f>IFERROR(IF(AB33="","",IF(AB33&lt;=0.2,"Leve",IF(AB33&lt;=0.4,"Menor",IF(AB33&lt;=0.6,"Moderado",IF(AB33&lt;=0.8,"Mayor","Catastrófico"))))),"")</f>
        <v/>
      </c>
      <c r="AB33" s="139" t="str">
        <f>IFERROR(IF(Q33="Impacto",(M33-(+M33*T33)),IF(Q33="Probabilidad",M33,"")),"")</f>
        <v/>
      </c>
      <c r="AC33" s="1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4"/>
      <c r="AE33" s="135"/>
      <c r="AF33" s="136"/>
      <c r="AG33" s="137"/>
      <c r="AH33" s="137"/>
      <c r="AI33" s="135"/>
      <c r="AJ33" s="411"/>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35"/>
      <c r="B34" s="238"/>
      <c r="C34" s="238"/>
      <c r="D34" s="238"/>
      <c r="E34" s="241"/>
      <c r="F34" s="238"/>
      <c r="G34" s="244"/>
      <c r="H34" s="232"/>
      <c r="I34" s="223"/>
      <c r="J34" s="229"/>
      <c r="K34" s="223">
        <f ca="1">IF(NOT(ISERROR(MATCH(J34,_xlfn.ANCHORARRAY(E45),0))),I47&amp;"Por favor no seleccionar los criterios de impacto",J34)</f>
        <v>0</v>
      </c>
      <c r="L34" s="232"/>
      <c r="M34" s="223"/>
      <c r="N34" s="226"/>
      <c r="O34" s="125">
        <v>2</v>
      </c>
      <c r="P34" s="126"/>
      <c r="Q34" s="127" t="str">
        <f>IF(OR(R34="Preventivo",R34="Detectivo"),"Probabilidad",IF(R34="Correctivo","Impacto",""))</f>
        <v/>
      </c>
      <c r="R34" s="128"/>
      <c r="S34" s="128"/>
      <c r="T34" s="129" t="str">
        <f t="shared" ref="T34:T38" si="35">IF(AND(R34="Preventivo",S34="Automático"),"50%",IF(AND(R34="Preventivo",S34="Manual"),"40%",IF(AND(R34="Detectivo",S34="Automático"),"40%",IF(AND(R34="Detectivo",S34="Manual"),"30%",IF(AND(R34="Correctivo",S34="Automático"),"35%",IF(AND(R34="Correctivo",S34="Manual"),"25%",""))))))</f>
        <v/>
      </c>
      <c r="U34" s="128"/>
      <c r="V34" s="128"/>
      <c r="W34" s="128"/>
      <c r="X34" s="130" t="str">
        <f>IFERROR(IF(AND(Q33="Probabilidad",Q34="Probabilidad"),(Z33-(+Z33*T34)),IF(Q34="Probabilidad",(I33-(+I33*T34)),IF(Q34="Impacto",Z33,""))),"")</f>
        <v/>
      </c>
      <c r="Y34" s="131" t="str">
        <f t="shared" si="12"/>
        <v/>
      </c>
      <c r="Z34" s="132" t="str">
        <f t="shared" ref="Z34:Z38" si="36">+X34</f>
        <v/>
      </c>
      <c r="AA34" s="131" t="str">
        <f t="shared" si="14"/>
        <v/>
      </c>
      <c r="AB34" s="139" t="str">
        <f>IFERROR(IF(AND(Q33="Impacto",Q34="Impacto"),(AB33-(+AB33*T34)),IF(Q34="Impacto",(M33-(+M33*T34)),IF(Q34="Probabilidad",AB33,""))),"")</f>
        <v/>
      </c>
      <c r="AC34" s="133" t="str">
        <f t="shared" ref="AC34:AC35" si="3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411"/>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35"/>
      <c r="B35" s="238"/>
      <c r="C35" s="238"/>
      <c r="D35" s="238"/>
      <c r="E35" s="241"/>
      <c r="F35" s="238"/>
      <c r="G35" s="244"/>
      <c r="H35" s="232"/>
      <c r="I35" s="223"/>
      <c r="J35" s="229"/>
      <c r="K35" s="223">
        <f ca="1">IF(NOT(ISERROR(MATCH(J35,_xlfn.ANCHORARRAY(E46),0))),I48&amp;"Por favor no seleccionar los criterios de impacto",J35)</f>
        <v>0</v>
      </c>
      <c r="L35" s="232"/>
      <c r="M35" s="223"/>
      <c r="N35" s="226"/>
      <c r="O35" s="125">
        <v>3</v>
      </c>
      <c r="P35" s="138"/>
      <c r="Q35" s="127" t="str">
        <f>IF(OR(R35="Preventivo",R35="Detectivo"),"Probabilidad",IF(R35="Correctivo","Impacto",""))</f>
        <v/>
      </c>
      <c r="R35" s="128"/>
      <c r="S35" s="128"/>
      <c r="T35" s="129" t="str">
        <f t="shared" si="35"/>
        <v/>
      </c>
      <c r="U35" s="128"/>
      <c r="V35" s="128"/>
      <c r="W35" s="128"/>
      <c r="X35" s="130" t="str">
        <f>IFERROR(IF(AND(Q34="Probabilidad",Q35="Probabilidad"),(Z34-(+Z34*T35)),IF(AND(Q34="Impacto",Q35="Probabilidad"),(Z33-(+Z33*T35)),IF(Q35="Impacto",Z34,""))),"")</f>
        <v/>
      </c>
      <c r="Y35" s="131" t="str">
        <f t="shared" si="12"/>
        <v/>
      </c>
      <c r="Z35" s="132" t="str">
        <f t="shared" si="36"/>
        <v/>
      </c>
      <c r="AA35" s="131" t="str">
        <f t="shared" si="14"/>
        <v/>
      </c>
      <c r="AB35" s="139" t="str">
        <f>IFERROR(IF(AND(Q34="Impacto",Q35="Impacto"),(AB34-(+AB34*T35)),IF(AND(Q34="Probabilidad",Q35="Impacto"),(AB33-(+AB33*T35)),IF(Q35="Probabilidad",AB34,""))),"")</f>
        <v/>
      </c>
      <c r="AC35" s="133" t="str">
        <f t="shared" si="37"/>
        <v/>
      </c>
      <c r="AD35" s="134"/>
      <c r="AE35" s="135"/>
      <c r="AF35" s="136"/>
      <c r="AG35" s="137"/>
      <c r="AH35" s="137"/>
      <c r="AI35" s="135"/>
      <c r="AJ35" s="411"/>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35"/>
      <c r="B36" s="238"/>
      <c r="C36" s="238"/>
      <c r="D36" s="238"/>
      <c r="E36" s="241"/>
      <c r="F36" s="238"/>
      <c r="G36" s="244"/>
      <c r="H36" s="232"/>
      <c r="I36" s="223"/>
      <c r="J36" s="229"/>
      <c r="K36" s="223">
        <f ca="1">IF(NOT(ISERROR(MATCH(J36,_xlfn.ANCHORARRAY(E47),0))),I49&amp;"Por favor no seleccionar los criterios de impacto",J36)</f>
        <v>0</v>
      </c>
      <c r="L36" s="232"/>
      <c r="M36" s="223"/>
      <c r="N36" s="226"/>
      <c r="O36" s="125">
        <v>4</v>
      </c>
      <c r="P36" s="126"/>
      <c r="Q36" s="127" t="str">
        <f t="shared" ref="Q36:Q38" si="38">IF(OR(R36="Preventivo",R36="Detectivo"),"Probabilidad",IF(R36="Correctivo","Impacto",""))</f>
        <v/>
      </c>
      <c r="R36" s="128"/>
      <c r="S36" s="128"/>
      <c r="T36" s="129" t="str">
        <f t="shared" si="35"/>
        <v/>
      </c>
      <c r="U36" s="128"/>
      <c r="V36" s="128"/>
      <c r="W36" s="128"/>
      <c r="X36" s="130" t="str">
        <f t="shared" ref="X36:X38" si="39">IFERROR(IF(AND(Q35="Probabilidad",Q36="Probabilidad"),(Z35-(+Z35*T36)),IF(AND(Q35="Impacto",Q36="Probabilidad"),(Z34-(+Z34*T36)),IF(Q36="Impacto",Z35,""))),"")</f>
        <v/>
      </c>
      <c r="Y36" s="131" t="str">
        <f t="shared" si="12"/>
        <v/>
      </c>
      <c r="Z36" s="132" t="str">
        <f t="shared" si="36"/>
        <v/>
      </c>
      <c r="AA36" s="131" t="str">
        <f t="shared" si="14"/>
        <v/>
      </c>
      <c r="AB36" s="139" t="str">
        <f t="shared" ref="AB36:AB38" si="40">IFERROR(IF(AND(Q35="Impacto",Q36="Impacto"),(AB35-(+AB35*T36)),IF(AND(Q35="Probabilidad",Q36="Impacto"),(AB34-(+AB34*T36)),IF(Q36="Probabilidad",AB35,""))),"")</f>
        <v/>
      </c>
      <c r="AC36" s="13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4"/>
      <c r="AE36" s="135"/>
      <c r="AF36" s="136"/>
      <c r="AG36" s="137"/>
      <c r="AH36" s="137"/>
      <c r="AI36" s="135"/>
      <c r="AJ36" s="411"/>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35"/>
      <c r="B37" s="238"/>
      <c r="C37" s="238"/>
      <c r="D37" s="238"/>
      <c r="E37" s="241"/>
      <c r="F37" s="238"/>
      <c r="G37" s="244"/>
      <c r="H37" s="232"/>
      <c r="I37" s="223"/>
      <c r="J37" s="229"/>
      <c r="K37" s="223">
        <f ca="1">IF(NOT(ISERROR(MATCH(J37,_xlfn.ANCHORARRAY(E48),0))),I50&amp;"Por favor no seleccionar los criterios de impacto",J37)</f>
        <v>0</v>
      </c>
      <c r="L37" s="232"/>
      <c r="M37" s="223"/>
      <c r="N37" s="226"/>
      <c r="O37" s="125">
        <v>5</v>
      </c>
      <c r="P37" s="126"/>
      <c r="Q37" s="127" t="str">
        <f t="shared" si="38"/>
        <v/>
      </c>
      <c r="R37" s="128"/>
      <c r="S37" s="128"/>
      <c r="T37" s="129" t="str">
        <f t="shared" si="35"/>
        <v/>
      </c>
      <c r="U37" s="128"/>
      <c r="V37" s="128"/>
      <c r="W37" s="128"/>
      <c r="X37" s="130" t="str">
        <f t="shared" si="39"/>
        <v/>
      </c>
      <c r="Y37" s="131" t="str">
        <f t="shared" si="12"/>
        <v/>
      </c>
      <c r="Z37" s="132" t="str">
        <f t="shared" si="36"/>
        <v/>
      </c>
      <c r="AA37" s="131" t="str">
        <f t="shared" si="14"/>
        <v/>
      </c>
      <c r="AB37" s="139" t="str">
        <f t="shared" si="40"/>
        <v/>
      </c>
      <c r="AC37" s="133" t="str">
        <f t="shared" ref="AC37:AC38" si="4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411"/>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36"/>
      <c r="B38" s="239"/>
      <c r="C38" s="239"/>
      <c r="D38" s="239"/>
      <c r="E38" s="242"/>
      <c r="F38" s="239"/>
      <c r="G38" s="245"/>
      <c r="H38" s="233"/>
      <c r="I38" s="224"/>
      <c r="J38" s="230"/>
      <c r="K38" s="224">
        <f ca="1">IF(NOT(ISERROR(MATCH(J38,_xlfn.ANCHORARRAY(E49),0))),I51&amp;"Por favor no seleccionar los criterios de impacto",J38)</f>
        <v>0</v>
      </c>
      <c r="L38" s="233"/>
      <c r="M38" s="224"/>
      <c r="N38" s="227"/>
      <c r="O38" s="125">
        <v>6</v>
      </c>
      <c r="P38" s="126"/>
      <c r="Q38" s="127" t="str">
        <f t="shared" si="38"/>
        <v/>
      </c>
      <c r="R38" s="128"/>
      <c r="S38" s="128"/>
      <c r="T38" s="129" t="str">
        <f t="shared" si="35"/>
        <v/>
      </c>
      <c r="U38" s="128"/>
      <c r="V38" s="128"/>
      <c r="W38" s="128"/>
      <c r="X38" s="130" t="str">
        <f t="shared" si="39"/>
        <v/>
      </c>
      <c r="Y38" s="131" t="str">
        <f t="shared" si="12"/>
        <v/>
      </c>
      <c r="Z38" s="132" t="str">
        <f t="shared" si="36"/>
        <v/>
      </c>
      <c r="AA38" s="131" t="str">
        <f t="shared" si="14"/>
        <v/>
      </c>
      <c r="AB38" s="139" t="str">
        <f t="shared" si="40"/>
        <v/>
      </c>
      <c r="AC38" s="133" t="str">
        <f t="shared" si="41"/>
        <v/>
      </c>
      <c r="AD38" s="134"/>
      <c r="AE38" s="135"/>
      <c r="AF38" s="136"/>
      <c r="AG38" s="137"/>
      <c r="AH38" s="137"/>
      <c r="AI38" s="135"/>
      <c r="AJ38" s="411"/>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34">
        <v>10</v>
      </c>
      <c r="B39" s="237"/>
      <c r="C39" s="237"/>
      <c r="D39" s="237"/>
      <c r="E39" s="240"/>
      <c r="F39" s="237"/>
      <c r="G39" s="243"/>
      <c r="H39" s="231" t="str">
        <f>IF(G39&lt;=0,"",IF(G39&lt;=2,"Muy Baja",IF(G39&lt;=24,"Baja",IF(G39&lt;=500,"Media",IF(G39&lt;=5000,"Alta","Muy Alta")))))</f>
        <v/>
      </c>
      <c r="I39" s="222" t="str">
        <f>IF(H39="","",IF(H39="Muy Baja",0.2,IF(H39="Baja",0.4,IF(H39="Media",0.6,IF(H39="Alta",0.8,IF(H39="Muy Alta",1,))))))</f>
        <v/>
      </c>
      <c r="J39" s="228"/>
      <c r="K39" s="222">
        <f ca="1">IF(NOT(ISERROR(MATCH(J39,'Tabla Impacto'!$B$221:$B$223,0))),'Tabla Impacto'!$F$223&amp;"Por favor no seleccionar los criterios de impacto(Afectación Económica o presupuestal y Pérdida Reputacional)",J39)</f>
        <v>0</v>
      </c>
      <c r="L39" s="231" t="str">
        <f ca="1">IF(OR(K39='Tabla Impacto'!$C$11,K39='Tabla Impacto'!$D$11),"Leve",IF(OR(K39='Tabla Impacto'!$C$12,K39='Tabla Impacto'!$D$12),"Menor",IF(OR(K39='Tabla Impacto'!$C$13,K39='Tabla Impacto'!$D$13),"Moderado",IF(OR(K39='Tabla Impacto'!$C$14,K39='Tabla Impacto'!$D$14),"Mayor",IF(OR(K39='Tabla Impacto'!$C$15,K39='Tabla Impacto'!$D$15),"Catastrófico","")))))</f>
        <v/>
      </c>
      <c r="M39" s="222" t="str">
        <f ca="1">IF(L39="","",IF(L39="Leve",0.2,IF(L39="Menor",0.4,IF(L39="Moderado",0.6,IF(L39="Mayor",0.8,IF(L39="Catastrófico",1,))))))</f>
        <v/>
      </c>
      <c r="N39" s="225"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25">
        <v>1</v>
      </c>
      <c r="P39" s="126"/>
      <c r="Q39" s="127" t="str">
        <f>IF(OR(R39="Preventivo",R39="Detectivo"),"Probabilidad",IF(R39="Correctivo","Impacto",""))</f>
        <v/>
      </c>
      <c r="R39" s="128"/>
      <c r="S39" s="128"/>
      <c r="T39" s="129" t="str">
        <f>IF(AND(R39="Preventivo",S39="Automático"),"50%",IF(AND(R39="Preventivo",S39="Manual"),"40%",IF(AND(R39="Detectivo",S39="Automático"),"40%",IF(AND(R39="Detectivo",S39="Manual"),"30%",IF(AND(R39="Correctivo",S39="Automático"),"35%",IF(AND(R39="Correctivo",S39="Manual"),"25%",""))))))</f>
        <v/>
      </c>
      <c r="U39" s="128"/>
      <c r="V39" s="128"/>
      <c r="W39" s="128"/>
      <c r="X39" s="130" t="str">
        <f>IFERROR(IF(Q39="Probabilidad",(I39-(+I39*T39)),IF(Q39="Impacto",I39,"")),"")</f>
        <v/>
      </c>
      <c r="Y39" s="131" t="str">
        <f>IFERROR(IF(X39="","",IF(X39&lt;=0.2,"Muy Baja",IF(X39&lt;=0.4,"Baja",IF(X39&lt;=0.6,"Media",IF(X39&lt;=0.8,"Alta","Muy Alta"))))),"")</f>
        <v/>
      </c>
      <c r="Z39" s="132" t="str">
        <f>+X39</f>
        <v/>
      </c>
      <c r="AA39" s="131" t="str">
        <f>IFERROR(IF(AB39="","",IF(AB39&lt;=0.2,"Leve",IF(AB39&lt;=0.4,"Menor",IF(AB39&lt;=0.6,"Moderado",IF(AB39&lt;=0.8,"Mayor","Catastrófico"))))),"")</f>
        <v/>
      </c>
      <c r="AB39" s="139" t="str">
        <f>IFERROR(IF(Q39="Impacto",(M39-(+M39*T39)),IF(Q39="Probabilidad",M39,"")),"")</f>
        <v/>
      </c>
      <c r="AC39" s="13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4"/>
      <c r="AE39" s="135"/>
      <c r="AF39" s="136"/>
      <c r="AG39" s="137"/>
      <c r="AH39" s="137"/>
      <c r="AI39" s="135"/>
      <c r="AJ39" s="411"/>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35"/>
      <c r="B40" s="238"/>
      <c r="C40" s="238"/>
      <c r="D40" s="238"/>
      <c r="E40" s="241"/>
      <c r="F40" s="238"/>
      <c r="G40" s="244"/>
      <c r="H40" s="232"/>
      <c r="I40" s="223"/>
      <c r="J40" s="229"/>
      <c r="K40" s="223">
        <f ca="1">IF(NOT(ISERROR(MATCH(J40,_xlfn.ANCHORARRAY(E51),0))),I53&amp;"Por favor no seleccionar los criterios de impacto",J40)</f>
        <v>0</v>
      </c>
      <c r="L40" s="232"/>
      <c r="M40" s="223"/>
      <c r="N40" s="226"/>
      <c r="O40" s="125">
        <v>2</v>
      </c>
      <c r="P40" s="126"/>
      <c r="Q40" s="127" t="str">
        <f>IF(OR(R40="Preventivo",R40="Detectivo"),"Probabilidad",IF(R40="Correctivo","Impacto",""))</f>
        <v/>
      </c>
      <c r="R40" s="128"/>
      <c r="S40" s="128"/>
      <c r="T40" s="129" t="str">
        <f t="shared" ref="T40:T44" si="42">IF(AND(R40="Preventivo",S40="Automático"),"50%",IF(AND(R40="Preventivo",S40="Manual"),"40%",IF(AND(R40="Detectivo",S40="Automático"),"40%",IF(AND(R40="Detectivo",S40="Manual"),"30%",IF(AND(R40="Correctivo",S40="Automático"),"35%",IF(AND(R40="Correctivo",S40="Manual"),"25%",""))))))</f>
        <v/>
      </c>
      <c r="U40" s="128"/>
      <c r="V40" s="128"/>
      <c r="W40" s="128"/>
      <c r="X40" s="130" t="str">
        <f>IFERROR(IF(AND(Q39="Probabilidad",Q40="Probabilidad"),(Z39-(+Z39*T40)),IF(Q40="Probabilidad",(I39-(+I39*T40)),IF(Q40="Impacto",Z39,""))),"")</f>
        <v/>
      </c>
      <c r="Y40" s="131" t="str">
        <f t="shared" si="12"/>
        <v/>
      </c>
      <c r="Z40" s="132" t="str">
        <f t="shared" ref="Z40:Z44" si="43">+X40</f>
        <v/>
      </c>
      <c r="AA40" s="131" t="str">
        <f t="shared" si="14"/>
        <v/>
      </c>
      <c r="AB40" s="139" t="str">
        <f>IFERROR(IF(AND(Q39="Impacto",Q40="Impacto"),(AB39-(+AB39*T40)),IF(Q40="Impacto",(M39-(+M39*T40)),IF(Q40="Probabilidad",AB39,""))),"")</f>
        <v/>
      </c>
      <c r="AC40" s="133" t="str">
        <f t="shared" ref="AC40:AC41" si="44">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411"/>
    </row>
    <row r="41" spans="1:68" ht="35.25" customHeight="1" x14ac:dyDescent="0.35">
      <c r="A41" s="235"/>
      <c r="B41" s="238"/>
      <c r="C41" s="238"/>
      <c r="D41" s="238"/>
      <c r="E41" s="241"/>
      <c r="F41" s="238"/>
      <c r="G41" s="244"/>
      <c r="H41" s="232"/>
      <c r="I41" s="223"/>
      <c r="J41" s="229"/>
      <c r="K41" s="223">
        <f ca="1">IF(NOT(ISERROR(MATCH(J41,_xlfn.ANCHORARRAY(E52),0))),I54&amp;"Por favor no seleccionar los criterios de impacto",J41)</f>
        <v>0</v>
      </c>
      <c r="L41" s="232"/>
      <c r="M41" s="223"/>
      <c r="N41" s="226"/>
      <c r="O41" s="125">
        <v>3</v>
      </c>
      <c r="P41" s="138"/>
      <c r="Q41" s="127" t="str">
        <f>IF(OR(R41="Preventivo",R41="Detectivo"),"Probabilidad",IF(R41="Correctivo","Impacto",""))</f>
        <v/>
      </c>
      <c r="R41" s="128"/>
      <c r="S41" s="128"/>
      <c r="T41" s="129" t="str">
        <f t="shared" si="42"/>
        <v/>
      </c>
      <c r="U41" s="128"/>
      <c r="V41" s="128"/>
      <c r="W41" s="128"/>
      <c r="X41" s="130" t="str">
        <f>IFERROR(IF(AND(Q40="Probabilidad",Q41="Probabilidad"),(Z40-(+Z40*T41)),IF(AND(Q40="Impacto",Q41="Probabilidad"),(Z39-(+Z39*T41)),IF(Q41="Impacto",Z40,""))),"")</f>
        <v/>
      </c>
      <c r="Y41" s="131" t="str">
        <f t="shared" si="12"/>
        <v/>
      </c>
      <c r="Z41" s="132" t="str">
        <f t="shared" si="43"/>
        <v/>
      </c>
      <c r="AA41" s="131" t="str">
        <f t="shared" si="14"/>
        <v/>
      </c>
      <c r="AB41" s="139" t="str">
        <f>IFERROR(IF(AND(Q40="Impacto",Q41="Impacto"),(AB40-(+AB40*T41)),IF(AND(Q40="Probabilidad",Q41="Impacto"),(AB39-(+AB39*T41)),IF(Q41="Probabilidad",AB40,""))),"")</f>
        <v/>
      </c>
      <c r="AC41" s="133" t="str">
        <f t="shared" si="44"/>
        <v/>
      </c>
      <c r="AD41" s="134"/>
      <c r="AE41" s="135"/>
      <c r="AF41" s="136"/>
      <c r="AG41" s="137"/>
      <c r="AH41" s="137"/>
      <c r="AI41" s="135"/>
      <c r="AJ41" s="411"/>
    </row>
    <row r="42" spans="1:68" ht="35.25" customHeight="1" x14ac:dyDescent="0.35">
      <c r="A42" s="235"/>
      <c r="B42" s="238"/>
      <c r="C42" s="238"/>
      <c r="D42" s="238"/>
      <c r="E42" s="241"/>
      <c r="F42" s="238"/>
      <c r="G42" s="244"/>
      <c r="H42" s="232"/>
      <c r="I42" s="223"/>
      <c r="J42" s="229"/>
      <c r="K42" s="223">
        <f ca="1">IF(NOT(ISERROR(MATCH(J42,_xlfn.ANCHORARRAY(E53),0))),I55&amp;"Por favor no seleccionar los criterios de impacto",J42)</f>
        <v>0</v>
      </c>
      <c r="L42" s="232"/>
      <c r="M42" s="223"/>
      <c r="N42" s="226"/>
      <c r="O42" s="125">
        <v>4</v>
      </c>
      <c r="P42" s="126"/>
      <c r="Q42" s="127" t="str">
        <f t="shared" ref="Q42:Q44" si="45">IF(OR(R42="Preventivo",R42="Detectivo"),"Probabilidad",IF(R42="Correctivo","Impacto",""))</f>
        <v/>
      </c>
      <c r="R42" s="128"/>
      <c r="S42" s="128"/>
      <c r="T42" s="129" t="str">
        <f t="shared" si="42"/>
        <v/>
      </c>
      <c r="U42" s="128"/>
      <c r="V42" s="128"/>
      <c r="W42" s="128"/>
      <c r="X42" s="130" t="str">
        <f t="shared" ref="X42:X44" si="46">IFERROR(IF(AND(Q41="Probabilidad",Q42="Probabilidad"),(Z41-(+Z41*T42)),IF(AND(Q41="Impacto",Q42="Probabilidad"),(Z40-(+Z40*T42)),IF(Q42="Impacto",Z41,""))),"")</f>
        <v/>
      </c>
      <c r="Y42" s="131" t="str">
        <f t="shared" si="12"/>
        <v/>
      </c>
      <c r="Z42" s="132" t="str">
        <f t="shared" si="43"/>
        <v/>
      </c>
      <c r="AA42" s="131" t="str">
        <f t="shared" si="14"/>
        <v/>
      </c>
      <c r="AB42" s="139" t="str">
        <f t="shared" ref="AB42:AB44" si="47">IFERROR(IF(AND(Q41="Impacto",Q42="Impacto"),(AB41-(+AB41*T42)),IF(AND(Q41="Probabilidad",Q42="Impacto"),(AB40-(+AB40*T42)),IF(Q42="Probabilidad",AB41,""))),"")</f>
        <v/>
      </c>
      <c r="AC42" s="13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4"/>
      <c r="AE42" s="135"/>
      <c r="AF42" s="136"/>
      <c r="AG42" s="137"/>
      <c r="AH42" s="137"/>
      <c r="AI42" s="135"/>
      <c r="AJ42" s="411"/>
    </row>
    <row r="43" spans="1:68" ht="35.25" customHeight="1" x14ac:dyDescent="0.35">
      <c r="A43" s="235"/>
      <c r="B43" s="238"/>
      <c r="C43" s="238"/>
      <c r="D43" s="238"/>
      <c r="E43" s="241"/>
      <c r="F43" s="238"/>
      <c r="G43" s="244"/>
      <c r="H43" s="232"/>
      <c r="I43" s="223"/>
      <c r="J43" s="229"/>
      <c r="K43" s="223">
        <f ca="1">IF(NOT(ISERROR(MATCH(J43,_xlfn.ANCHORARRAY(E54),0))),I56&amp;"Por favor no seleccionar los criterios de impacto",J43)</f>
        <v>0</v>
      </c>
      <c r="L43" s="232"/>
      <c r="M43" s="223"/>
      <c r="N43" s="226"/>
      <c r="O43" s="125">
        <v>5</v>
      </c>
      <c r="P43" s="126"/>
      <c r="Q43" s="127" t="str">
        <f t="shared" si="45"/>
        <v/>
      </c>
      <c r="R43" s="128"/>
      <c r="S43" s="128"/>
      <c r="T43" s="129" t="str">
        <f t="shared" si="42"/>
        <v/>
      </c>
      <c r="U43" s="128"/>
      <c r="V43" s="128"/>
      <c r="W43" s="128"/>
      <c r="X43" s="130" t="str">
        <f t="shared" si="46"/>
        <v/>
      </c>
      <c r="Y43" s="131" t="str">
        <f t="shared" si="12"/>
        <v/>
      </c>
      <c r="Z43" s="132" t="str">
        <f t="shared" si="43"/>
        <v/>
      </c>
      <c r="AA43" s="131" t="str">
        <f t="shared" si="14"/>
        <v/>
      </c>
      <c r="AB43" s="139" t="str">
        <f t="shared" si="47"/>
        <v/>
      </c>
      <c r="AC43" s="133" t="str">
        <f t="shared" ref="AC43:AC44" si="4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411"/>
    </row>
    <row r="44" spans="1:68" ht="35.25" customHeight="1" x14ac:dyDescent="0.35">
      <c r="A44" s="236"/>
      <c r="B44" s="239"/>
      <c r="C44" s="239"/>
      <c r="D44" s="239"/>
      <c r="E44" s="242"/>
      <c r="F44" s="239"/>
      <c r="G44" s="245"/>
      <c r="H44" s="233"/>
      <c r="I44" s="224"/>
      <c r="J44" s="230"/>
      <c r="K44" s="224">
        <f ca="1">IF(NOT(ISERROR(MATCH(J44,_xlfn.ANCHORARRAY(E55),0))),I57&amp;"Por favor no seleccionar los criterios de impacto",J44)</f>
        <v>0</v>
      </c>
      <c r="L44" s="233"/>
      <c r="M44" s="224"/>
      <c r="N44" s="227"/>
      <c r="O44" s="125">
        <v>6</v>
      </c>
      <c r="P44" s="126"/>
      <c r="Q44" s="127" t="str">
        <f t="shared" si="45"/>
        <v/>
      </c>
      <c r="R44" s="128"/>
      <c r="S44" s="128"/>
      <c r="T44" s="129" t="str">
        <f t="shared" si="42"/>
        <v/>
      </c>
      <c r="U44" s="128"/>
      <c r="V44" s="128"/>
      <c r="W44" s="128"/>
      <c r="X44" s="130" t="str">
        <f t="shared" si="46"/>
        <v/>
      </c>
      <c r="Y44" s="131" t="str">
        <f t="shared" si="12"/>
        <v/>
      </c>
      <c r="Z44" s="132" t="str">
        <f t="shared" si="43"/>
        <v/>
      </c>
      <c r="AA44" s="131" t="str">
        <f t="shared" si="14"/>
        <v/>
      </c>
      <c r="AB44" s="139" t="str">
        <f t="shared" si="47"/>
        <v/>
      </c>
      <c r="AC44" s="133" t="str">
        <f t="shared" si="48"/>
        <v/>
      </c>
      <c r="AD44" s="134"/>
      <c r="AE44" s="135"/>
      <c r="AF44" s="136"/>
      <c r="AG44" s="137"/>
      <c r="AH44" s="137"/>
      <c r="AI44" s="135"/>
      <c r="AJ44" s="411"/>
    </row>
    <row r="45" spans="1:68" ht="49.5" customHeight="1" x14ac:dyDescent="0.35">
      <c r="A45" s="6"/>
      <c r="B45" s="255" t="s">
        <v>131</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7"/>
    </row>
    <row r="47" spans="1:68" x14ac:dyDescent="0.35">
      <c r="A47" s="1"/>
      <c r="B47" s="24" t="s">
        <v>143</v>
      </c>
      <c r="C47" s="1"/>
      <c r="D47" s="1"/>
      <c r="F47" s="1"/>
    </row>
  </sheetData>
  <dataConsolidate/>
  <mergeCells count="115">
    <mergeCell ref="A1:AJ2"/>
    <mergeCell ref="A7:G7"/>
    <mergeCell ref="H7:N7"/>
    <mergeCell ref="O7:W7"/>
    <mergeCell ref="X7:AD7"/>
    <mergeCell ref="AE7:AJ7"/>
    <mergeCell ref="B45:AJ45"/>
    <mergeCell ref="M33:M38"/>
    <mergeCell ref="N33:N38"/>
    <mergeCell ref="A39:A44"/>
    <mergeCell ref="B39:B44"/>
    <mergeCell ref="C39:C44"/>
    <mergeCell ref="D39:D44"/>
    <mergeCell ref="E39:E44"/>
    <mergeCell ref="F39:F44"/>
    <mergeCell ref="G39:G44"/>
    <mergeCell ref="H39:H44"/>
    <mergeCell ref="I39:I44"/>
    <mergeCell ref="J39:J44"/>
    <mergeCell ref="K39:K44"/>
    <mergeCell ref="L39:L44"/>
    <mergeCell ref="M39:M44"/>
    <mergeCell ref="K27:K32"/>
    <mergeCell ref="L27:L32"/>
    <mergeCell ref="M27:M32"/>
    <mergeCell ref="N27:N32"/>
    <mergeCell ref="N39:N44"/>
    <mergeCell ref="J33:J38"/>
    <mergeCell ref="K33:K38"/>
    <mergeCell ref="L33:L38"/>
    <mergeCell ref="A33:A38"/>
    <mergeCell ref="B33:B38"/>
    <mergeCell ref="C33:C38"/>
    <mergeCell ref="D33:D38"/>
    <mergeCell ref="E33:E38"/>
    <mergeCell ref="F33:F38"/>
    <mergeCell ref="G33:G38"/>
    <mergeCell ref="H33:H38"/>
    <mergeCell ref="I33:I38"/>
    <mergeCell ref="F27:F32"/>
    <mergeCell ref="G27:G32"/>
    <mergeCell ref="H27:H32"/>
    <mergeCell ref="I27:I32"/>
    <mergeCell ref="J27:J32"/>
    <mergeCell ref="A27:A32"/>
    <mergeCell ref="B27:B32"/>
    <mergeCell ref="C27:C32"/>
    <mergeCell ref="D27:D32"/>
    <mergeCell ref="E27:E32"/>
    <mergeCell ref="A21:A26"/>
    <mergeCell ref="B21:B26"/>
    <mergeCell ref="C21:C26"/>
    <mergeCell ref="D21:D26"/>
    <mergeCell ref="E21:E26"/>
    <mergeCell ref="M15:M20"/>
    <mergeCell ref="N15:N20"/>
    <mergeCell ref="J21:J26"/>
    <mergeCell ref="K21:K26"/>
    <mergeCell ref="L21:L26"/>
    <mergeCell ref="A15:A20"/>
    <mergeCell ref="B15:B20"/>
    <mergeCell ref="C15:C20"/>
    <mergeCell ref="D15:D20"/>
    <mergeCell ref="E15:E20"/>
    <mergeCell ref="F15:F20"/>
    <mergeCell ref="J15:J20"/>
    <mergeCell ref="K15:K20"/>
    <mergeCell ref="L15:L20"/>
    <mergeCell ref="G15:G20"/>
    <mergeCell ref="H15:H20"/>
    <mergeCell ref="I15:I20"/>
    <mergeCell ref="M21:M26"/>
    <mergeCell ref="N21:N26"/>
    <mergeCell ref="F21:F26"/>
    <mergeCell ref="G21:G26"/>
    <mergeCell ref="H21:H26"/>
    <mergeCell ref="I21:I26"/>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C4:N4"/>
    <mergeCell ref="O4:Q4"/>
    <mergeCell ref="AA8:AA9"/>
    <mergeCell ref="Y8:Y9"/>
    <mergeCell ref="Z8:Z9"/>
    <mergeCell ref="G8:G9"/>
    <mergeCell ref="H8:H9"/>
    <mergeCell ref="I8:I9"/>
    <mergeCell ref="L8:L9"/>
    <mergeCell ref="M8:M9"/>
    <mergeCell ref="B8:B9"/>
    <mergeCell ref="N8:N9"/>
    <mergeCell ref="J8:J9"/>
    <mergeCell ref="K8:K9"/>
    <mergeCell ref="Q8:Q9"/>
    <mergeCell ref="R8:W8"/>
  </mergeCells>
  <conditionalFormatting sqref="H11">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L15 L21 L27 L33 L39">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33">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1">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1">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1">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1">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12">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12">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12">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12">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12">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13">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13">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13">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13">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13">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14">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14">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14">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14">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14">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15">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15">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15:Y20">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15:AA20">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15:AC20">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21">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21">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21:Y26">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21:AA26">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21:AC26">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27">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27">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27:Y32">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27:AA32">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27:AC32">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33">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33:Y38">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33:AA38">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33:AC38">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39">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39">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39:Y44">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39:AA44">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39:AC44">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44">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AJ10:AJ16 AJ18:AJ19 AJ21:AJ22 AJ24:AJ25 AJ27:AJ28 AJ30:AJ31 AJ33:AJ34 AJ36:AJ37 AJ39:AJ40 AJ42:AJ43</xm:sqref>
        </x14:dataValidation>
        <x14:dataValidation type="list" allowBlank="1" showInputMessage="1" showErrorMessage="1">
          <x14:formula1>
            <xm:f>'Tabla Valoración controles'!$D$4:$D$6</xm:f>
          </x14:formula1>
          <xm:sqref>R10:R44</xm:sqref>
        </x14:dataValidation>
        <x14:dataValidation type="list" allowBlank="1" showInputMessage="1" showErrorMessage="1">
          <x14:formula1>
            <xm:f>'Tabla Valoración controles'!$D$7:$D$8</xm:f>
          </x14:formula1>
          <xm:sqref>S10:S44</xm:sqref>
        </x14:dataValidation>
        <x14:dataValidation type="list" allowBlank="1" showInputMessage="1" showErrorMessage="1">
          <x14:formula1>
            <xm:f>'Tabla Valoración controles'!$D$9:$D$10</xm:f>
          </x14:formula1>
          <xm:sqref>U10:U44</xm:sqref>
        </x14:dataValidation>
        <x14:dataValidation type="list" allowBlank="1" showInputMessage="1" showErrorMessage="1">
          <x14:formula1>
            <xm:f>'Tabla Valoración controles'!$D$11:$D$12</xm:f>
          </x14:formula1>
          <xm:sqref>V10:V44</xm:sqref>
        </x14:dataValidation>
        <x14:dataValidation type="list" allowBlank="1" showInputMessage="1" showErrorMessage="1">
          <x14:formula1>
            <xm:f>'Tabla Valoración controles'!$D$13:$D$14</xm:f>
          </x14:formula1>
          <xm:sqref>W10:W44</xm:sqref>
        </x14:dataValidation>
        <x14:dataValidation type="list" allowBlank="1" showInputMessage="1" showErrorMessage="1">
          <x14:formula1>
            <xm:f>'Opciones Tratamiento'!$B$13:$B$19</xm:f>
          </x14:formula1>
          <xm:sqref>F10:F44</xm:sqref>
        </x14:dataValidation>
        <x14:dataValidation type="list" allowBlank="1" showInputMessage="1" showErrorMessage="1">
          <x14:formula1>
            <xm:f>'Opciones Tratamiento'!$E$2:$E$4</xm:f>
          </x14:formula1>
          <xm:sqref>B10:B44</xm:sqref>
        </x14:dataValidation>
        <x14:dataValidation type="list" allowBlank="1" showInputMessage="1" showErrorMessage="1">
          <x14:formula1>
            <xm:f>'Opciones Tratamiento'!$B$2:$B$5</xm:f>
          </x14:formula1>
          <xm:sqref>AD10:AD44</xm:sqref>
        </x14:dataValidation>
        <x14:dataValidation type="list" allowBlank="1" showInputMessage="1" showErrorMessage="1">
          <x14:formula1>
            <xm:f>'Tabla Impacto'!$F$210:$F$221</xm:f>
          </x14:formula1>
          <xm:sqref>J10:J44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AE10:AE44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AF10:AF44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AG10:AG44 AI10:AI12 AH10:AH14</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AH15:AH44</xm:sqref>
        </x14:dataValidation>
        <x14:dataValidation type="custom" allowBlank="1" showInputMessage="1" showErrorMessage="1" error="Recuerde que las acciones se generan bajo la medida de mitigar el riesgo">
          <x14:formula1>
            <xm:f>IF(OR(AD15='Opciones Tratamiento'!$B$2,AD15='Opciones Tratamiento'!$B$3,AD15='Opciones Tratamiento'!$B$4),ISBLANK(AD15),ISTEXT(AD15))</xm:f>
          </x14:formula1>
          <xm:sqref>AI15:AI44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258" t="s">
        <v>161</v>
      </c>
      <c r="C2" s="258"/>
      <c r="D2" s="258"/>
      <c r="E2" s="258"/>
      <c r="F2" s="258"/>
      <c r="G2" s="258"/>
      <c r="H2" s="258"/>
      <c r="I2" s="258"/>
      <c r="J2" s="296" t="s">
        <v>2</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258"/>
      <c r="C3" s="258"/>
      <c r="D3" s="258"/>
      <c r="E3" s="258"/>
      <c r="F3" s="258"/>
      <c r="G3" s="258"/>
      <c r="H3" s="258"/>
      <c r="I3" s="258"/>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258"/>
      <c r="C4" s="258"/>
      <c r="D4" s="258"/>
      <c r="E4" s="258"/>
      <c r="F4" s="258"/>
      <c r="G4" s="258"/>
      <c r="H4" s="258"/>
      <c r="I4" s="258"/>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308" t="s">
        <v>4</v>
      </c>
      <c r="C6" s="308"/>
      <c r="D6" s="309"/>
      <c r="E6" s="297" t="s">
        <v>116</v>
      </c>
      <c r="F6" s="298"/>
      <c r="G6" s="298"/>
      <c r="H6" s="298"/>
      <c r="I6" s="299"/>
      <c r="J6" s="293" t="str">
        <f>IF(AND('Mapa final'!$H$10="Muy Alta",'Mapa final'!$L$10="Leve"),CONCATENATE("R",'Mapa final'!$A$10),"")</f>
        <v/>
      </c>
      <c r="K6" s="294"/>
      <c r="L6" s="294" t="str">
        <f>IF(AND('Mapa final'!$H$11="Muy Alta",'Mapa final'!$L$11="Leve"),CONCATENATE("R",'Mapa final'!$A$11),"")</f>
        <v/>
      </c>
      <c r="M6" s="294"/>
      <c r="N6" s="294" t="str">
        <f>IF(AND('Mapa final'!$H$12="Muy Alta",'Mapa final'!$L$12="Leve"),CONCATENATE("R",'Mapa final'!$A$12),"")</f>
        <v/>
      </c>
      <c r="O6" s="295"/>
      <c r="P6" s="293" t="str">
        <f>IF(AND('Mapa final'!$H$10="Muy Alta",'Mapa final'!$L$10="Menor"),CONCATENATE("R",'Mapa final'!$A$10),"")</f>
        <v/>
      </c>
      <c r="Q6" s="294"/>
      <c r="R6" s="294" t="str">
        <f>IF(AND('Mapa final'!$H$11="Muy Alta",'Mapa final'!$L$11="Menor"),CONCATENATE("R",'Mapa final'!$A$11),"")</f>
        <v/>
      </c>
      <c r="S6" s="294"/>
      <c r="T6" s="294" t="str">
        <f>IF(AND('Mapa final'!$H$12="Muy Alta",'Mapa final'!$L$12="Menor"),CONCATENATE("R",'Mapa final'!$A$12),"")</f>
        <v/>
      </c>
      <c r="U6" s="295"/>
      <c r="V6" s="293" t="str">
        <f>IF(AND('Mapa final'!$H$10="Muy Alta",'Mapa final'!$L$10="Moderado"),CONCATENATE("R",'Mapa final'!$A$10),"")</f>
        <v/>
      </c>
      <c r="W6" s="294"/>
      <c r="X6" s="294" t="str">
        <f>IF(AND('Mapa final'!$H$11="Muy Alta",'Mapa final'!$L$11="Moderado"),CONCATENATE("R",'Mapa final'!$A$11),"")</f>
        <v/>
      </c>
      <c r="Y6" s="294"/>
      <c r="Z6" s="294" t="str">
        <f>IF(AND('Mapa final'!$H$12="Muy Alta",'Mapa final'!$L$12="Moderado"),CONCATENATE("R",'Mapa final'!$A$12),"")</f>
        <v/>
      </c>
      <c r="AA6" s="295"/>
      <c r="AB6" s="293" t="str">
        <f>IF(AND('Mapa final'!$H$10="Muy Alta",'Mapa final'!$L$10="Mayor"),CONCATENATE("R",'Mapa final'!$A$10),"")</f>
        <v/>
      </c>
      <c r="AC6" s="294"/>
      <c r="AD6" s="294" t="str">
        <f>IF(AND('Mapa final'!$H$11="Muy Alta",'Mapa final'!$L$11="Mayor"),CONCATENATE("R",'Mapa final'!$A$11),"")</f>
        <v/>
      </c>
      <c r="AE6" s="294"/>
      <c r="AF6" s="294" t="str">
        <f>IF(AND('Mapa final'!$H$12="Muy Alta",'Mapa final'!$L$12="Mayor"),CONCATENATE("R",'Mapa final'!$A$12),"")</f>
        <v/>
      </c>
      <c r="AG6" s="295"/>
      <c r="AH6" s="283" t="str">
        <f>IF(AND('Mapa final'!$H$10="Muy Alta",'Mapa final'!$L$10="Catastrófico"),CONCATENATE("R",'Mapa final'!$A$10),"")</f>
        <v/>
      </c>
      <c r="AI6" s="284"/>
      <c r="AJ6" s="284" t="str">
        <f>IF(AND('Mapa final'!$H$11="Muy Alta",'Mapa final'!$L$11="Catastrófico"),CONCATENATE("R",'Mapa final'!$A$11),"")</f>
        <v/>
      </c>
      <c r="AK6" s="284"/>
      <c r="AL6" s="284" t="str">
        <f>IF(AND('Mapa final'!$H$12="Muy Alta",'Mapa final'!$L$12="Catastrófico"),CONCATENATE("R",'Mapa final'!$A$12),"")</f>
        <v/>
      </c>
      <c r="AM6" s="285"/>
      <c r="AO6" s="310" t="s">
        <v>79</v>
      </c>
      <c r="AP6" s="311"/>
      <c r="AQ6" s="311"/>
      <c r="AR6" s="311"/>
      <c r="AS6" s="311"/>
      <c r="AT6" s="31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308"/>
      <c r="C7" s="308"/>
      <c r="D7" s="309"/>
      <c r="E7" s="300"/>
      <c r="F7" s="301"/>
      <c r="G7" s="301"/>
      <c r="H7" s="301"/>
      <c r="I7" s="302"/>
      <c r="J7" s="286"/>
      <c r="K7" s="287"/>
      <c r="L7" s="287"/>
      <c r="M7" s="287"/>
      <c r="N7" s="287"/>
      <c r="O7" s="289"/>
      <c r="P7" s="286"/>
      <c r="Q7" s="287"/>
      <c r="R7" s="287"/>
      <c r="S7" s="287"/>
      <c r="T7" s="287"/>
      <c r="U7" s="289"/>
      <c r="V7" s="286"/>
      <c r="W7" s="287"/>
      <c r="X7" s="287"/>
      <c r="Y7" s="287"/>
      <c r="Z7" s="287"/>
      <c r="AA7" s="289"/>
      <c r="AB7" s="286"/>
      <c r="AC7" s="287"/>
      <c r="AD7" s="287"/>
      <c r="AE7" s="287"/>
      <c r="AF7" s="287"/>
      <c r="AG7" s="289"/>
      <c r="AH7" s="277"/>
      <c r="AI7" s="278"/>
      <c r="AJ7" s="278"/>
      <c r="AK7" s="278"/>
      <c r="AL7" s="278"/>
      <c r="AM7" s="279"/>
      <c r="AN7" s="84"/>
      <c r="AO7" s="313"/>
      <c r="AP7" s="314"/>
      <c r="AQ7" s="314"/>
      <c r="AR7" s="314"/>
      <c r="AS7" s="314"/>
      <c r="AT7" s="31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308"/>
      <c r="C8" s="308"/>
      <c r="D8" s="309"/>
      <c r="E8" s="300"/>
      <c r="F8" s="301"/>
      <c r="G8" s="301"/>
      <c r="H8" s="301"/>
      <c r="I8" s="302"/>
      <c r="J8" s="286" t="str">
        <f>IF(AND('Mapa final'!$H$13="Muy Alta",'Mapa final'!$L$13="Leve"),CONCATENATE("R",'Mapa final'!$A$13),"")</f>
        <v/>
      </c>
      <c r="K8" s="287"/>
      <c r="L8" s="288" t="str">
        <f>IF(AND('Mapa final'!$H$14="Muy Alta",'Mapa final'!$L$14="Leve"),CONCATENATE("R",'Mapa final'!$A$14),"")</f>
        <v/>
      </c>
      <c r="M8" s="288"/>
      <c r="N8" s="288" t="str">
        <f ca="1">IF(AND('Mapa final'!$H$15="Muy Alta",'Mapa final'!$L$15="Leve"),CONCATENATE("R",'Mapa final'!$A$15),"")</f>
        <v/>
      </c>
      <c r="O8" s="289"/>
      <c r="P8" s="286" t="str">
        <f>IF(AND('Mapa final'!$H$13="Muy Alta",'Mapa final'!$L$13="Menor"),CONCATENATE("R",'Mapa final'!$A$13),"")</f>
        <v/>
      </c>
      <c r="Q8" s="287"/>
      <c r="R8" s="288" t="str">
        <f>IF(AND('Mapa final'!$H$14="Muy Alta",'Mapa final'!$L$14="Menor"),CONCATENATE("R",'Mapa final'!$A$14),"")</f>
        <v/>
      </c>
      <c r="S8" s="288"/>
      <c r="T8" s="288" t="str">
        <f ca="1">IF(AND('Mapa final'!$H$15="Muy Alta",'Mapa final'!$L$15="Menor"),CONCATENATE("R",'Mapa final'!$A$15),"")</f>
        <v/>
      </c>
      <c r="U8" s="289"/>
      <c r="V8" s="286" t="str">
        <f>IF(AND('Mapa final'!$H$13="Muy Alta",'Mapa final'!$L$13="Moderado"),CONCATENATE("R",'Mapa final'!$A$13),"")</f>
        <v/>
      </c>
      <c r="W8" s="287"/>
      <c r="X8" s="288" t="str">
        <f>IF(AND('Mapa final'!$H$14="Muy Alta",'Mapa final'!$L$14="Moderado"),CONCATENATE("R",'Mapa final'!$A$14),"")</f>
        <v/>
      </c>
      <c r="Y8" s="288"/>
      <c r="Z8" s="288" t="str">
        <f ca="1">IF(AND('Mapa final'!$H$15="Muy Alta",'Mapa final'!$L$15="Moderado"),CONCATENATE("R",'Mapa final'!$A$15),"")</f>
        <v/>
      </c>
      <c r="AA8" s="289"/>
      <c r="AB8" s="286" t="str">
        <f>IF(AND('Mapa final'!$H$13="Muy Alta",'Mapa final'!$L$13="Mayor"),CONCATENATE("R",'Mapa final'!$A$13),"")</f>
        <v/>
      </c>
      <c r="AC8" s="287"/>
      <c r="AD8" s="288" t="str">
        <f>IF(AND('Mapa final'!$H$14="Muy Alta",'Mapa final'!$L$14="Mayor"),CONCATENATE("R",'Mapa final'!$A$14),"")</f>
        <v/>
      </c>
      <c r="AE8" s="288"/>
      <c r="AF8" s="288" t="str">
        <f ca="1">IF(AND('Mapa final'!$H$15="Muy Alta",'Mapa final'!$L$15="Mayor"),CONCATENATE("R",'Mapa final'!$A$15),"")</f>
        <v/>
      </c>
      <c r="AG8" s="289"/>
      <c r="AH8" s="277" t="str">
        <f>IF(AND('Mapa final'!$H$13="Muy Alta",'Mapa final'!$L$13="Catastrófico"),CONCATENATE("R",'Mapa final'!$A$13),"")</f>
        <v/>
      </c>
      <c r="AI8" s="278"/>
      <c r="AJ8" s="278" t="str">
        <f>IF(AND('Mapa final'!$H$14="Muy Alta",'Mapa final'!$L$14="Catastrófico"),CONCATENATE("R",'Mapa final'!$A$14),"")</f>
        <v/>
      </c>
      <c r="AK8" s="278"/>
      <c r="AL8" s="278" t="str">
        <f ca="1">IF(AND('Mapa final'!$H$15="Muy Alta",'Mapa final'!$L$15="Catastrófico"),CONCATENATE("R",'Mapa final'!$A$15),"")</f>
        <v/>
      </c>
      <c r="AM8" s="279"/>
      <c r="AN8" s="84"/>
      <c r="AO8" s="313"/>
      <c r="AP8" s="314"/>
      <c r="AQ8" s="314"/>
      <c r="AR8" s="314"/>
      <c r="AS8" s="314"/>
      <c r="AT8" s="31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308"/>
      <c r="C9" s="308"/>
      <c r="D9" s="309"/>
      <c r="E9" s="300"/>
      <c r="F9" s="301"/>
      <c r="G9" s="301"/>
      <c r="H9" s="301"/>
      <c r="I9" s="302"/>
      <c r="J9" s="286"/>
      <c r="K9" s="287"/>
      <c r="L9" s="288"/>
      <c r="M9" s="288"/>
      <c r="N9" s="288"/>
      <c r="O9" s="289"/>
      <c r="P9" s="286"/>
      <c r="Q9" s="287"/>
      <c r="R9" s="288"/>
      <c r="S9" s="288"/>
      <c r="T9" s="288"/>
      <c r="U9" s="289"/>
      <c r="V9" s="286"/>
      <c r="W9" s="287"/>
      <c r="X9" s="288"/>
      <c r="Y9" s="288"/>
      <c r="Z9" s="288"/>
      <c r="AA9" s="289"/>
      <c r="AB9" s="286"/>
      <c r="AC9" s="287"/>
      <c r="AD9" s="288"/>
      <c r="AE9" s="288"/>
      <c r="AF9" s="288"/>
      <c r="AG9" s="289"/>
      <c r="AH9" s="277"/>
      <c r="AI9" s="278"/>
      <c r="AJ9" s="278"/>
      <c r="AK9" s="278"/>
      <c r="AL9" s="278"/>
      <c r="AM9" s="279"/>
      <c r="AN9" s="84"/>
      <c r="AO9" s="313"/>
      <c r="AP9" s="314"/>
      <c r="AQ9" s="314"/>
      <c r="AR9" s="314"/>
      <c r="AS9" s="314"/>
      <c r="AT9" s="31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308"/>
      <c r="C10" s="308"/>
      <c r="D10" s="309"/>
      <c r="E10" s="300"/>
      <c r="F10" s="301"/>
      <c r="G10" s="301"/>
      <c r="H10" s="301"/>
      <c r="I10" s="302"/>
      <c r="J10" s="286" t="str">
        <f ca="1">IF(AND('Mapa final'!$H$21="Muy Alta",'Mapa final'!$L$21="Leve"),CONCATENATE("R",'Mapa final'!$A$21),"")</f>
        <v/>
      </c>
      <c r="K10" s="287"/>
      <c r="L10" s="288" t="str">
        <f ca="1">IF(AND('Mapa final'!$H$27="Muy Alta",'Mapa final'!$L$27="Leve"),CONCATENATE("R",'Mapa final'!$A$27),"")</f>
        <v/>
      </c>
      <c r="M10" s="288"/>
      <c r="N10" s="288" t="str">
        <f ca="1">IF(AND('Mapa final'!$H$33="Muy Alta",'Mapa final'!$L$33="Leve"),CONCATENATE("R",'Mapa final'!$A$33),"")</f>
        <v/>
      </c>
      <c r="O10" s="289"/>
      <c r="P10" s="286" t="str">
        <f ca="1">IF(AND('Mapa final'!$H$21="Muy Alta",'Mapa final'!$L$21="Menor"),CONCATENATE("R",'Mapa final'!$A$21),"")</f>
        <v/>
      </c>
      <c r="Q10" s="287"/>
      <c r="R10" s="288" t="str">
        <f ca="1">IF(AND('Mapa final'!$H$27="Muy Alta",'Mapa final'!$L$27="Menor"),CONCATENATE("R",'Mapa final'!$A$27),"")</f>
        <v/>
      </c>
      <c r="S10" s="288"/>
      <c r="T10" s="288" t="str">
        <f ca="1">IF(AND('Mapa final'!$H$33="Muy Alta",'Mapa final'!$L$33="Menor"),CONCATENATE("R",'Mapa final'!$A$33),"")</f>
        <v/>
      </c>
      <c r="U10" s="289"/>
      <c r="V10" s="286" t="str">
        <f ca="1">IF(AND('Mapa final'!$H$21="Muy Alta",'Mapa final'!$L$21="Moderado"),CONCATENATE("R",'Mapa final'!$A$21),"")</f>
        <v/>
      </c>
      <c r="W10" s="287"/>
      <c r="X10" s="288" t="str">
        <f ca="1">IF(AND('Mapa final'!$H$27="Muy Alta",'Mapa final'!$L$27="Moderado"),CONCATENATE("R",'Mapa final'!$A$27),"")</f>
        <v/>
      </c>
      <c r="Y10" s="288"/>
      <c r="Z10" s="288" t="str">
        <f ca="1">IF(AND('Mapa final'!$H$33="Muy Alta",'Mapa final'!$L$33="Moderado"),CONCATENATE("R",'Mapa final'!$A$33),"")</f>
        <v/>
      </c>
      <c r="AA10" s="289"/>
      <c r="AB10" s="286" t="str">
        <f ca="1">IF(AND('Mapa final'!$H$21="Muy Alta",'Mapa final'!$L$21="Mayor"),CONCATENATE("R",'Mapa final'!$A$21),"")</f>
        <v/>
      </c>
      <c r="AC10" s="287"/>
      <c r="AD10" s="288" t="str">
        <f ca="1">IF(AND('Mapa final'!$H$27="Muy Alta",'Mapa final'!$L$27="Mayor"),CONCATENATE("R",'Mapa final'!$A$27),"")</f>
        <v/>
      </c>
      <c r="AE10" s="288"/>
      <c r="AF10" s="288" t="str">
        <f ca="1">IF(AND('Mapa final'!$H$33="Muy Alta",'Mapa final'!$L$33="Mayor"),CONCATENATE("R",'Mapa final'!$A$33),"")</f>
        <v/>
      </c>
      <c r="AG10" s="289"/>
      <c r="AH10" s="277" t="str">
        <f ca="1">IF(AND('Mapa final'!$H$21="Muy Alta",'Mapa final'!$L$21="Catastrófico"),CONCATENATE("R",'Mapa final'!$A$21),"")</f>
        <v/>
      </c>
      <c r="AI10" s="278"/>
      <c r="AJ10" s="278" t="str">
        <f ca="1">IF(AND('Mapa final'!$H$27="Muy Alta",'Mapa final'!$L$27="Catastrófico"),CONCATENATE("R",'Mapa final'!$A$27),"")</f>
        <v/>
      </c>
      <c r="AK10" s="278"/>
      <c r="AL10" s="278" t="str">
        <f ca="1">IF(AND('Mapa final'!$H$33="Muy Alta",'Mapa final'!$L$33="Catastrófico"),CONCATENATE("R",'Mapa final'!$A$33),"")</f>
        <v/>
      </c>
      <c r="AM10" s="279"/>
      <c r="AN10" s="84"/>
      <c r="AO10" s="313"/>
      <c r="AP10" s="314"/>
      <c r="AQ10" s="314"/>
      <c r="AR10" s="314"/>
      <c r="AS10" s="314"/>
      <c r="AT10" s="31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308"/>
      <c r="C11" s="308"/>
      <c r="D11" s="309"/>
      <c r="E11" s="300"/>
      <c r="F11" s="301"/>
      <c r="G11" s="301"/>
      <c r="H11" s="301"/>
      <c r="I11" s="302"/>
      <c r="J11" s="286"/>
      <c r="K11" s="287"/>
      <c r="L11" s="288"/>
      <c r="M11" s="288"/>
      <c r="N11" s="288"/>
      <c r="O11" s="289"/>
      <c r="P11" s="286"/>
      <c r="Q11" s="287"/>
      <c r="R11" s="288"/>
      <c r="S11" s="288"/>
      <c r="T11" s="288"/>
      <c r="U11" s="289"/>
      <c r="V11" s="286"/>
      <c r="W11" s="287"/>
      <c r="X11" s="288"/>
      <c r="Y11" s="288"/>
      <c r="Z11" s="288"/>
      <c r="AA11" s="289"/>
      <c r="AB11" s="286"/>
      <c r="AC11" s="287"/>
      <c r="AD11" s="288"/>
      <c r="AE11" s="288"/>
      <c r="AF11" s="288"/>
      <c r="AG11" s="289"/>
      <c r="AH11" s="277"/>
      <c r="AI11" s="278"/>
      <c r="AJ11" s="278"/>
      <c r="AK11" s="278"/>
      <c r="AL11" s="278"/>
      <c r="AM11" s="279"/>
      <c r="AN11" s="84"/>
      <c r="AO11" s="313"/>
      <c r="AP11" s="314"/>
      <c r="AQ11" s="314"/>
      <c r="AR11" s="314"/>
      <c r="AS11" s="314"/>
      <c r="AT11" s="31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308"/>
      <c r="C12" s="308"/>
      <c r="D12" s="309"/>
      <c r="E12" s="300"/>
      <c r="F12" s="301"/>
      <c r="G12" s="301"/>
      <c r="H12" s="301"/>
      <c r="I12" s="302"/>
      <c r="J12" s="286" t="str">
        <f ca="1">IF(AND('Mapa final'!$H$39="Muy Alta",'Mapa final'!$L$39="Leve"),CONCATENATE("R",'Mapa final'!$A$39),"")</f>
        <v/>
      </c>
      <c r="K12" s="287"/>
      <c r="L12" s="288" t="str">
        <f>IF(AND('Mapa final'!$H$45="Muy Alta",'Mapa final'!$L$45="Leve"),CONCATENATE("R",'Mapa final'!$A$45),"")</f>
        <v/>
      </c>
      <c r="M12" s="288"/>
      <c r="N12" s="288" t="str">
        <f>IF(AND('Mapa final'!$H$51="Muy Alta",'Mapa final'!$L$51="Leve"),CONCATENATE("R",'Mapa final'!$A$51),"")</f>
        <v/>
      </c>
      <c r="O12" s="289"/>
      <c r="P12" s="286" t="str">
        <f ca="1">IF(AND('Mapa final'!$H$39="Muy Alta",'Mapa final'!$L$39="Menor"),CONCATENATE("R",'Mapa final'!$A$39),"")</f>
        <v/>
      </c>
      <c r="Q12" s="287"/>
      <c r="R12" s="288" t="str">
        <f>IF(AND('Mapa final'!$H$45="Muy Alta",'Mapa final'!$L$45="Menor"),CONCATENATE("R",'Mapa final'!$A$45),"")</f>
        <v/>
      </c>
      <c r="S12" s="288"/>
      <c r="T12" s="288" t="str">
        <f>IF(AND('Mapa final'!$H$51="Muy Alta",'Mapa final'!$L$51="Menor"),CONCATENATE("R",'Mapa final'!$A$51),"")</f>
        <v/>
      </c>
      <c r="U12" s="289"/>
      <c r="V12" s="286" t="str">
        <f ca="1">IF(AND('Mapa final'!$H$39="Muy Alta",'Mapa final'!$L$39="Moderado"),CONCATENATE("R",'Mapa final'!$A$39),"")</f>
        <v/>
      </c>
      <c r="W12" s="287"/>
      <c r="X12" s="288" t="str">
        <f>IF(AND('Mapa final'!$H$45="Muy Alta",'Mapa final'!$L$45="Moderado"),CONCATENATE("R",'Mapa final'!$A$45),"")</f>
        <v/>
      </c>
      <c r="Y12" s="288"/>
      <c r="Z12" s="288" t="str">
        <f>IF(AND('Mapa final'!$H$51="Muy Alta",'Mapa final'!$L$51="Moderado"),CONCATENATE("R",'Mapa final'!$A$51),"")</f>
        <v/>
      </c>
      <c r="AA12" s="289"/>
      <c r="AB12" s="286" t="str">
        <f ca="1">IF(AND('Mapa final'!$H$39="Muy Alta",'Mapa final'!$L$39="Mayor"),CONCATENATE("R",'Mapa final'!$A$39),"")</f>
        <v/>
      </c>
      <c r="AC12" s="287"/>
      <c r="AD12" s="288" t="str">
        <f>IF(AND('Mapa final'!$H$45="Muy Alta",'Mapa final'!$L$45="Mayor"),CONCATENATE("R",'Mapa final'!$A$45),"")</f>
        <v/>
      </c>
      <c r="AE12" s="288"/>
      <c r="AF12" s="288" t="str">
        <f>IF(AND('Mapa final'!$H$51="Muy Alta",'Mapa final'!$L$51="Mayor"),CONCATENATE("R",'Mapa final'!$A$51),"")</f>
        <v/>
      </c>
      <c r="AG12" s="289"/>
      <c r="AH12" s="277" t="str">
        <f ca="1">IF(AND('Mapa final'!$H$39="Muy Alta",'Mapa final'!$L$39="Catastrófico"),CONCATENATE("R",'Mapa final'!$A$39),"")</f>
        <v/>
      </c>
      <c r="AI12" s="278"/>
      <c r="AJ12" s="278" t="str">
        <f>IF(AND('Mapa final'!$H$45="Muy Alta",'Mapa final'!$L$45="Catastrófico"),CONCATENATE("R",'Mapa final'!$A$45),"")</f>
        <v/>
      </c>
      <c r="AK12" s="278"/>
      <c r="AL12" s="278" t="str">
        <f>IF(AND('Mapa final'!$H$51="Muy Alta",'Mapa final'!$L$51="Catastrófico"),CONCATENATE("R",'Mapa final'!$A$51),"")</f>
        <v/>
      </c>
      <c r="AM12" s="279"/>
      <c r="AN12" s="84"/>
      <c r="AO12" s="313"/>
      <c r="AP12" s="314"/>
      <c r="AQ12" s="314"/>
      <c r="AR12" s="314"/>
      <c r="AS12" s="314"/>
      <c r="AT12" s="31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308"/>
      <c r="C13" s="308"/>
      <c r="D13" s="309"/>
      <c r="E13" s="303"/>
      <c r="F13" s="304"/>
      <c r="G13" s="304"/>
      <c r="H13" s="304"/>
      <c r="I13" s="305"/>
      <c r="J13" s="286"/>
      <c r="K13" s="287"/>
      <c r="L13" s="287"/>
      <c r="M13" s="287"/>
      <c r="N13" s="287"/>
      <c r="O13" s="289"/>
      <c r="P13" s="286"/>
      <c r="Q13" s="287"/>
      <c r="R13" s="287"/>
      <c r="S13" s="287"/>
      <c r="T13" s="287"/>
      <c r="U13" s="289"/>
      <c r="V13" s="286"/>
      <c r="W13" s="287"/>
      <c r="X13" s="287"/>
      <c r="Y13" s="287"/>
      <c r="Z13" s="287"/>
      <c r="AA13" s="289"/>
      <c r="AB13" s="286"/>
      <c r="AC13" s="287"/>
      <c r="AD13" s="287"/>
      <c r="AE13" s="287"/>
      <c r="AF13" s="287"/>
      <c r="AG13" s="289"/>
      <c r="AH13" s="280"/>
      <c r="AI13" s="281"/>
      <c r="AJ13" s="281"/>
      <c r="AK13" s="281"/>
      <c r="AL13" s="281"/>
      <c r="AM13" s="282"/>
      <c r="AN13" s="84"/>
      <c r="AO13" s="316"/>
      <c r="AP13" s="317"/>
      <c r="AQ13" s="317"/>
      <c r="AR13" s="317"/>
      <c r="AS13" s="317"/>
      <c r="AT13" s="31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308"/>
      <c r="C14" s="308"/>
      <c r="D14" s="309"/>
      <c r="E14" s="297" t="s">
        <v>115</v>
      </c>
      <c r="F14" s="298"/>
      <c r="G14" s="298"/>
      <c r="H14" s="298"/>
      <c r="I14" s="298"/>
      <c r="J14" s="274" t="str">
        <f>IF(AND('Mapa final'!$H$10="Alta",'Mapa final'!$L$10="Leve"),CONCATENATE("R",'Mapa final'!$A$10),"")</f>
        <v/>
      </c>
      <c r="K14" s="275"/>
      <c r="L14" s="275" t="str">
        <f>IF(AND('Mapa final'!$H$11="Alta",'Mapa final'!$L$11="Leve"),CONCATENATE("R",'Mapa final'!$A$11),"")</f>
        <v/>
      </c>
      <c r="M14" s="275"/>
      <c r="N14" s="275" t="str">
        <f>IF(AND('Mapa final'!$H$12="Alta",'Mapa final'!$L$12="Leve"),CONCATENATE("R",'Mapa final'!$A$12),"")</f>
        <v/>
      </c>
      <c r="O14" s="276"/>
      <c r="P14" s="274" t="str">
        <f>IF(AND('Mapa final'!$H$10="Alta",'Mapa final'!$L$10="Menor"),CONCATENATE("R",'Mapa final'!$A$10),"")</f>
        <v/>
      </c>
      <c r="Q14" s="275"/>
      <c r="R14" s="275" t="str">
        <f>IF(AND('Mapa final'!$H$11="Alta",'Mapa final'!$L$11="Menor"),CONCATENATE("R",'Mapa final'!$A$11),"")</f>
        <v/>
      </c>
      <c r="S14" s="275"/>
      <c r="T14" s="275" t="str">
        <f>IF(AND('Mapa final'!$H$12="Alta",'Mapa final'!$L$12="Menor"),CONCATENATE("R",'Mapa final'!$A$12),"")</f>
        <v/>
      </c>
      <c r="U14" s="276"/>
      <c r="V14" s="293" t="str">
        <f>IF(AND('Mapa final'!$H$10="Alta",'Mapa final'!$L$10="Moderado"),CONCATENATE("R",'Mapa final'!$A$10),"")</f>
        <v/>
      </c>
      <c r="W14" s="294"/>
      <c r="X14" s="294" t="str">
        <f>IF(AND('Mapa final'!$H$11="Alta",'Mapa final'!$L$11="Moderado"),CONCATENATE("R",'Mapa final'!$A$11),"")</f>
        <v/>
      </c>
      <c r="Y14" s="294"/>
      <c r="Z14" s="294" t="str">
        <f>IF(AND('Mapa final'!$H$12="Alta",'Mapa final'!$L$12="Moderado"),CONCATENATE("R",'Mapa final'!$A$12),"")</f>
        <v/>
      </c>
      <c r="AA14" s="295"/>
      <c r="AB14" s="293" t="str">
        <f>IF(AND('Mapa final'!$H$10="Alta",'Mapa final'!$L$10="Mayor"),CONCATENATE("R",'Mapa final'!$A$10),"")</f>
        <v/>
      </c>
      <c r="AC14" s="294"/>
      <c r="AD14" s="294" t="str">
        <f>IF(AND('Mapa final'!$H$11="Alta",'Mapa final'!$L$11="Mayor"),CONCATENATE("R",'Mapa final'!$A$11),"")</f>
        <v/>
      </c>
      <c r="AE14" s="294"/>
      <c r="AF14" s="294" t="str">
        <f>IF(AND('Mapa final'!$H$12="Alta",'Mapa final'!$L$12="Mayor"),CONCATENATE("R",'Mapa final'!$A$12),"")</f>
        <v>R3</v>
      </c>
      <c r="AG14" s="295"/>
      <c r="AH14" s="283" t="str">
        <f>IF(AND('Mapa final'!$H$10="Alta",'Mapa final'!$L$10="Catastrófico"),CONCATENATE("R",'Mapa final'!$A$10),"")</f>
        <v/>
      </c>
      <c r="AI14" s="284"/>
      <c r="AJ14" s="284" t="str">
        <f>IF(AND('Mapa final'!$H$11="Alta",'Mapa final'!$L$11="Catastrófico"),CONCATENATE("R",'Mapa final'!$A$11),"")</f>
        <v/>
      </c>
      <c r="AK14" s="284"/>
      <c r="AL14" s="284" t="str">
        <f>IF(AND('Mapa final'!$H$12="Alta",'Mapa final'!$L$12="Catastrófico"),CONCATENATE("R",'Mapa final'!$A$12),"")</f>
        <v/>
      </c>
      <c r="AM14" s="285"/>
      <c r="AN14" s="84"/>
      <c r="AO14" s="319" t="s">
        <v>80</v>
      </c>
      <c r="AP14" s="320"/>
      <c r="AQ14" s="320"/>
      <c r="AR14" s="320"/>
      <c r="AS14" s="320"/>
      <c r="AT14" s="32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308"/>
      <c r="C15" s="308"/>
      <c r="D15" s="309"/>
      <c r="E15" s="300"/>
      <c r="F15" s="301"/>
      <c r="G15" s="301"/>
      <c r="H15" s="301"/>
      <c r="I15" s="306"/>
      <c r="J15" s="268"/>
      <c r="K15" s="269"/>
      <c r="L15" s="269"/>
      <c r="M15" s="269"/>
      <c r="N15" s="269"/>
      <c r="O15" s="270"/>
      <c r="P15" s="268"/>
      <c r="Q15" s="269"/>
      <c r="R15" s="269"/>
      <c r="S15" s="269"/>
      <c r="T15" s="269"/>
      <c r="U15" s="270"/>
      <c r="V15" s="286"/>
      <c r="W15" s="287"/>
      <c r="X15" s="287"/>
      <c r="Y15" s="287"/>
      <c r="Z15" s="287"/>
      <c r="AA15" s="289"/>
      <c r="AB15" s="286"/>
      <c r="AC15" s="287"/>
      <c r="AD15" s="287"/>
      <c r="AE15" s="287"/>
      <c r="AF15" s="287"/>
      <c r="AG15" s="289"/>
      <c r="AH15" s="277"/>
      <c r="AI15" s="278"/>
      <c r="AJ15" s="278"/>
      <c r="AK15" s="278"/>
      <c r="AL15" s="278"/>
      <c r="AM15" s="279"/>
      <c r="AN15" s="84"/>
      <c r="AO15" s="322"/>
      <c r="AP15" s="323"/>
      <c r="AQ15" s="323"/>
      <c r="AR15" s="323"/>
      <c r="AS15" s="323"/>
      <c r="AT15" s="32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308"/>
      <c r="C16" s="308"/>
      <c r="D16" s="309"/>
      <c r="E16" s="300"/>
      <c r="F16" s="301"/>
      <c r="G16" s="301"/>
      <c r="H16" s="301"/>
      <c r="I16" s="306"/>
      <c r="J16" s="268" t="str">
        <f>IF(AND('Mapa final'!$H$13="Alta",'Mapa final'!$L$13="Leve"),CONCATENATE("R",'Mapa final'!$A$13),"")</f>
        <v/>
      </c>
      <c r="K16" s="269"/>
      <c r="L16" s="269" t="str">
        <f>IF(AND('Mapa final'!$H$14="Alta",'Mapa final'!$L$14="Leve"),CONCATENATE("R",'Mapa final'!$A$14),"")</f>
        <v/>
      </c>
      <c r="M16" s="269"/>
      <c r="N16" s="269" t="str">
        <f ca="1">IF(AND('Mapa final'!$H$15="Alta",'Mapa final'!$L$15="Leve"),CONCATENATE("R",'Mapa final'!$A$15),"")</f>
        <v/>
      </c>
      <c r="O16" s="270"/>
      <c r="P16" s="268" t="str">
        <f>IF(AND('Mapa final'!$H$13="Alta",'Mapa final'!$L$13="Menor"),CONCATENATE("R",'Mapa final'!$A$13),"")</f>
        <v/>
      </c>
      <c r="Q16" s="269"/>
      <c r="R16" s="269" t="str">
        <f>IF(AND('Mapa final'!$H$14="Alta",'Mapa final'!$L$14="Menor"),CONCATENATE("R",'Mapa final'!$A$14),"")</f>
        <v/>
      </c>
      <c r="S16" s="269"/>
      <c r="T16" s="269" t="str">
        <f ca="1">IF(AND('Mapa final'!$H$15="Alta",'Mapa final'!$L$15="Menor"),CONCATENATE("R",'Mapa final'!$A$15),"")</f>
        <v/>
      </c>
      <c r="U16" s="270"/>
      <c r="V16" s="286" t="str">
        <f>IF(AND('Mapa final'!$H$13="Alta",'Mapa final'!$L$13="Moderado"),CONCATENATE("R",'Mapa final'!$A$13),"")</f>
        <v/>
      </c>
      <c r="W16" s="287"/>
      <c r="X16" s="288" t="str">
        <f>IF(AND('Mapa final'!$H$14="Alta",'Mapa final'!$L$14="Moderado"),CONCATENATE("R",'Mapa final'!$A$14),"")</f>
        <v/>
      </c>
      <c r="Y16" s="288"/>
      <c r="Z16" s="288" t="str">
        <f ca="1">IF(AND('Mapa final'!$H$15="Alta",'Mapa final'!$L$15="Moderado"),CONCATENATE("R",'Mapa final'!$A$15),"")</f>
        <v/>
      </c>
      <c r="AA16" s="289"/>
      <c r="AB16" s="286" t="str">
        <f>IF(AND('Mapa final'!$H$13="Alta",'Mapa final'!$L$13="Mayor"),CONCATENATE("R",'Mapa final'!$A$13),"")</f>
        <v/>
      </c>
      <c r="AC16" s="287"/>
      <c r="AD16" s="288" t="str">
        <f>IF(AND('Mapa final'!$H$14="Alta",'Mapa final'!$L$14="Mayor"),CONCATENATE("R",'Mapa final'!$A$14),"")</f>
        <v/>
      </c>
      <c r="AE16" s="288"/>
      <c r="AF16" s="288" t="str">
        <f ca="1">IF(AND('Mapa final'!$H$15="Alta",'Mapa final'!$L$15="Mayor"),CONCATENATE("R",'Mapa final'!$A$15),"")</f>
        <v/>
      </c>
      <c r="AG16" s="289"/>
      <c r="AH16" s="277" t="str">
        <f>IF(AND('Mapa final'!$H$13="Alta",'Mapa final'!$L$13="Catastrófico"),CONCATENATE("R",'Mapa final'!$A$13),"")</f>
        <v/>
      </c>
      <c r="AI16" s="278"/>
      <c r="AJ16" s="278" t="str">
        <f>IF(AND('Mapa final'!$H$14="Alta",'Mapa final'!$L$14="Catastrófico"),CONCATENATE("R",'Mapa final'!$A$14),"")</f>
        <v/>
      </c>
      <c r="AK16" s="278"/>
      <c r="AL16" s="278" t="str">
        <f ca="1">IF(AND('Mapa final'!$H$15="Alta",'Mapa final'!$L$15="Catastrófico"),CONCATENATE("R",'Mapa final'!$A$15),"")</f>
        <v/>
      </c>
      <c r="AM16" s="279"/>
      <c r="AN16" s="84"/>
      <c r="AO16" s="322"/>
      <c r="AP16" s="323"/>
      <c r="AQ16" s="323"/>
      <c r="AR16" s="323"/>
      <c r="AS16" s="323"/>
      <c r="AT16" s="32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308"/>
      <c r="C17" s="308"/>
      <c r="D17" s="309"/>
      <c r="E17" s="300"/>
      <c r="F17" s="301"/>
      <c r="G17" s="301"/>
      <c r="H17" s="301"/>
      <c r="I17" s="306"/>
      <c r="J17" s="268"/>
      <c r="K17" s="269"/>
      <c r="L17" s="269"/>
      <c r="M17" s="269"/>
      <c r="N17" s="269"/>
      <c r="O17" s="270"/>
      <c r="P17" s="268"/>
      <c r="Q17" s="269"/>
      <c r="R17" s="269"/>
      <c r="S17" s="269"/>
      <c r="T17" s="269"/>
      <c r="U17" s="270"/>
      <c r="V17" s="286"/>
      <c r="W17" s="287"/>
      <c r="X17" s="288"/>
      <c r="Y17" s="288"/>
      <c r="Z17" s="288"/>
      <c r="AA17" s="289"/>
      <c r="AB17" s="286"/>
      <c r="AC17" s="287"/>
      <c r="AD17" s="288"/>
      <c r="AE17" s="288"/>
      <c r="AF17" s="288"/>
      <c r="AG17" s="289"/>
      <c r="AH17" s="277"/>
      <c r="AI17" s="278"/>
      <c r="AJ17" s="278"/>
      <c r="AK17" s="278"/>
      <c r="AL17" s="278"/>
      <c r="AM17" s="279"/>
      <c r="AN17" s="84"/>
      <c r="AO17" s="322"/>
      <c r="AP17" s="323"/>
      <c r="AQ17" s="323"/>
      <c r="AR17" s="323"/>
      <c r="AS17" s="323"/>
      <c r="AT17" s="32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308"/>
      <c r="C18" s="308"/>
      <c r="D18" s="309"/>
      <c r="E18" s="300"/>
      <c r="F18" s="301"/>
      <c r="G18" s="301"/>
      <c r="H18" s="301"/>
      <c r="I18" s="306"/>
      <c r="J18" s="268" t="str">
        <f ca="1">IF(AND('Mapa final'!$H$21="Alta",'Mapa final'!$L$21="Leve"),CONCATENATE("R",'Mapa final'!$A$21),"")</f>
        <v/>
      </c>
      <c r="K18" s="269"/>
      <c r="L18" s="269" t="str">
        <f ca="1">IF(AND('Mapa final'!$H$27="Alta",'Mapa final'!$L$27="Leve"),CONCATENATE("R",'Mapa final'!$A$27),"")</f>
        <v/>
      </c>
      <c r="M18" s="269"/>
      <c r="N18" s="269" t="str">
        <f ca="1">IF(AND('Mapa final'!$H$33="Alta",'Mapa final'!$L$33="Leve"),CONCATENATE("R",'Mapa final'!$A$33),"")</f>
        <v/>
      </c>
      <c r="O18" s="270"/>
      <c r="P18" s="268" t="str">
        <f ca="1">IF(AND('Mapa final'!$H$21="Alta",'Mapa final'!$L$21="Menor"),CONCATENATE("R",'Mapa final'!$A$21),"")</f>
        <v/>
      </c>
      <c r="Q18" s="269"/>
      <c r="R18" s="269" t="str">
        <f ca="1">IF(AND('Mapa final'!$H$27="Alta",'Mapa final'!$L$27="Menor"),CONCATENATE("R",'Mapa final'!$A$27),"")</f>
        <v/>
      </c>
      <c r="S18" s="269"/>
      <c r="T18" s="269" t="str">
        <f ca="1">IF(AND('Mapa final'!$H$33="Alta",'Mapa final'!$L$33="Menor"),CONCATENATE("R",'Mapa final'!$A$33),"")</f>
        <v/>
      </c>
      <c r="U18" s="270"/>
      <c r="V18" s="286" t="str">
        <f ca="1">IF(AND('Mapa final'!$H$21="Alta",'Mapa final'!$L$21="Moderado"),CONCATENATE("R",'Mapa final'!$A$21),"")</f>
        <v/>
      </c>
      <c r="W18" s="287"/>
      <c r="X18" s="288" t="str">
        <f ca="1">IF(AND('Mapa final'!$H$27="Alta",'Mapa final'!$L$27="Moderado"),CONCATENATE("R",'Mapa final'!$A$27),"")</f>
        <v/>
      </c>
      <c r="Y18" s="288"/>
      <c r="Z18" s="288" t="str">
        <f ca="1">IF(AND('Mapa final'!$H$33="Alta",'Mapa final'!$L$33="Moderado"),CONCATENATE("R",'Mapa final'!$A$33),"")</f>
        <v/>
      </c>
      <c r="AA18" s="289"/>
      <c r="AB18" s="286" t="str">
        <f ca="1">IF(AND('Mapa final'!$H$21="Alta",'Mapa final'!$L$21="Mayor"),CONCATENATE("R",'Mapa final'!$A$21),"")</f>
        <v/>
      </c>
      <c r="AC18" s="287"/>
      <c r="AD18" s="288" t="str">
        <f ca="1">IF(AND('Mapa final'!$H$27="Alta",'Mapa final'!$L$27="Mayor"),CONCATENATE("R",'Mapa final'!$A$27),"")</f>
        <v/>
      </c>
      <c r="AE18" s="288"/>
      <c r="AF18" s="288" t="str">
        <f ca="1">IF(AND('Mapa final'!$H$33="Alta",'Mapa final'!$L$33="Mayor"),CONCATENATE("R",'Mapa final'!$A$33),"")</f>
        <v/>
      </c>
      <c r="AG18" s="289"/>
      <c r="AH18" s="277" t="str">
        <f ca="1">IF(AND('Mapa final'!$H$21="Alta",'Mapa final'!$L$21="Catastrófico"),CONCATENATE("R",'Mapa final'!$A$21),"")</f>
        <v/>
      </c>
      <c r="AI18" s="278"/>
      <c r="AJ18" s="278" t="str">
        <f ca="1">IF(AND('Mapa final'!$H$27="Alta",'Mapa final'!$L$27="Catastrófico"),CONCATENATE("R",'Mapa final'!$A$27),"")</f>
        <v/>
      </c>
      <c r="AK18" s="278"/>
      <c r="AL18" s="278" t="str">
        <f ca="1">IF(AND('Mapa final'!$H$33="Alta",'Mapa final'!$L$33="Catastrófico"),CONCATENATE("R",'Mapa final'!$A$33),"")</f>
        <v/>
      </c>
      <c r="AM18" s="279"/>
      <c r="AN18" s="84"/>
      <c r="AO18" s="322"/>
      <c r="AP18" s="323"/>
      <c r="AQ18" s="323"/>
      <c r="AR18" s="323"/>
      <c r="AS18" s="323"/>
      <c r="AT18" s="32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308"/>
      <c r="C19" s="308"/>
      <c r="D19" s="309"/>
      <c r="E19" s="300"/>
      <c r="F19" s="301"/>
      <c r="G19" s="301"/>
      <c r="H19" s="301"/>
      <c r="I19" s="306"/>
      <c r="J19" s="268"/>
      <c r="K19" s="269"/>
      <c r="L19" s="269"/>
      <c r="M19" s="269"/>
      <c r="N19" s="269"/>
      <c r="O19" s="270"/>
      <c r="P19" s="268"/>
      <c r="Q19" s="269"/>
      <c r="R19" s="269"/>
      <c r="S19" s="269"/>
      <c r="T19" s="269"/>
      <c r="U19" s="270"/>
      <c r="V19" s="286"/>
      <c r="W19" s="287"/>
      <c r="X19" s="288"/>
      <c r="Y19" s="288"/>
      <c r="Z19" s="288"/>
      <c r="AA19" s="289"/>
      <c r="AB19" s="286"/>
      <c r="AC19" s="287"/>
      <c r="AD19" s="288"/>
      <c r="AE19" s="288"/>
      <c r="AF19" s="288"/>
      <c r="AG19" s="289"/>
      <c r="AH19" s="277"/>
      <c r="AI19" s="278"/>
      <c r="AJ19" s="278"/>
      <c r="AK19" s="278"/>
      <c r="AL19" s="278"/>
      <c r="AM19" s="279"/>
      <c r="AN19" s="84"/>
      <c r="AO19" s="322"/>
      <c r="AP19" s="323"/>
      <c r="AQ19" s="323"/>
      <c r="AR19" s="323"/>
      <c r="AS19" s="323"/>
      <c r="AT19" s="32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308"/>
      <c r="C20" s="308"/>
      <c r="D20" s="309"/>
      <c r="E20" s="300"/>
      <c r="F20" s="301"/>
      <c r="G20" s="301"/>
      <c r="H20" s="301"/>
      <c r="I20" s="306"/>
      <c r="J20" s="268" t="str">
        <f ca="1">IF(AND('Mapa final'!$H$39="Alta",'Mapa final'!$L$39="Leve"),CONCATENATE("R",'Mapa final'!$A$39),"")</f>
        <v/>
      </c>
      <c r="K20" s="269"/>
      <c r="L20" s="269" t="str">
        <f>IF(AND('Mapa final'!$H$45="Alta",'Mapa final'!$L$45="Leve"),CONCATENATE("R",'Mapa final'!$A$45),"")</f>
        <v/>
      </c>
      <c r="M20" s="269"/>
      <c r="N20" s="269" t="str">
        <f>IF(AND('Mapa final'!$H$51="Alta",'Mapa final'!$L$51="Leve"),CONCATENATE("R",'Mapa final'!$A$51),"")</f>
        <v/>
      </c>
      <c r="O20" s="270"/>
      <c r="P20" s="268" t="str">
        <f ca="1">IF(AND('Mapa final'!$H$39="Alta",'Mapa final'!$L$39="Menor"),CONCATENATE("R",'Mapa final'!$A$39),"")</f>
        <v/>
      </c>
      <c r="Q20" s="269"/>
      <c r="R20" s="269" t="str">
        <f>IF(AND('Mapa final'!$H$45="Alta",'Mapa final'!$L$45="Menor"),CONCATENATE("R",'Mapa final'!$A$45),"")</f>
        <v/>
      </c>
      <c r="S20" s="269"/>
      <c r="T20" s="269" t="str">
        <f>IF(AND('Mapa final'!$H$51="Alta",'Mapa final'!$L$51="Menor"),CONCATENATE("R",'Mapa final'!$A$51),"")</f>
        <v/>
      </c>
      <c r="U20" s="270"/>
      <c r="V20" s="286" t="str">
        <f ca="1">IF(AND('Mapa final'!$H$39="Alta",'Mapa final'!$L$39="Moderado"),CONCATENATE("R",'Mapa final'!$A$39),"")</f>
        <v/>
      </c>
      <c r="W20" s="287"/>
      <c r="X20" s="288" t="str">
        <f>IF(AND('Mapa final'!$H$45="Alta",'Mapa final'!$L$45="Moderado"),CONCATENATE("R",'Mapa final'!$A$45),"")</f>
        <v/>
      </c>
      <c r="Y20" s="288"/>
      <c r="Z20" s="288" t="str">
        <f>IF(AND('Mapa final'!$H$51="Alta",'Mapa final'!$L$51="Moderado"),CONCATENATE("R",'Mapa final'!$A$51),"")</f>
        <v/>
      </c>
      <c r="AA20" s="289"/>
      <c r="AB20" s="286" t="str">
        <f ca="1">IF(AND('Mapa final'!$H$39="Alta",'Mapa final'!$L$39="Mayor"),CONCATENATE("R",'Mapa final'!$A$39),"")</f>
        <v/>
      </c>
      <c r="AC20" s="287"/>
      <c r="AD20" s="288" t="str">
        <f>IF(AND('Mapa final'!$H$45="Alta",'Mapa final'!$L$45="Mayor"),CONCATENATE("R",'Mapa final'!$A$45),"")</f>
        <v/>
      </c>
      <c r="AE20" s="288"/>
      <c r="AF20" s="288" t="str">
        <f>IF(AND('Mapa final'!$H$51="Alta",'Mapa final'!$L$51="Mayor"),CONCATENATE("R",'Mapa final'!$A$51),"")</f>
        <v/>
      </c>
      <c r="AG20" s="289"/>
      <c r="AH20" s="277" t="str">
        <f ca="1">IF(AND('Mapa final'!$H$39="Alta",'Mapa final'!$L$39="Catastrófico"),CONCATENATE("R",'Mapa final'!$A$39),"")</f>
        <v/>
      </c>
      <c r="AI20" s="278"/>
      <c r="AJ20" s="278" t="str">
        <f>IF(AND('Mapa final'!$H$45="Alta",'Mapa final'!$L$45="Catastrófico"),CONCATENATE("R",'Mapa final'!$A$45),"")</f>
        <v/>
      </c>
      <c r="AK20" s="278"/>
      <c r="AL20" s="278" t="str">
        <f>IF(AND('Mapa final'!$H$51="Alta",'Mapa final'!$L$51="Catastrófico"),CONCATENATE("R",'Mapa final'!$A$51),"")</f>
        <v/>
      </c>
      <c r="AM20" s="279"/>
      <c r="AN20" s="84"/>
      <c r="AO20" s="322"/>
      <c r="AP20" s="323"/>
      <c r="AQ20" s="323"/>
      <c r="AR20" s="323"/>
      <c r="AS20" s="323"/>
      <c r="AT20" s="32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308"/>
      <c r="C21" s="308"/>
      <c r="D21" s="309"/>
      <c r="E21" s="303"/>
      <c r="F21" s="304"/>
      <c r="G21" s="304"/>
      <c r="H21" s="304"/>
      <c r="I21" s="304"/>
      <c r="J21" s="271"/>
      <c r="K21" s="272"/>
      <c r="L21" s="272"/>
      <c r="M21" s="272"/>
      <c r="N21" s="272"/>
      <c r="O21" s="273"/>
      <c r="P21" s="271"/>
      <c r="Q21" s="272"/>
      <c r="R21" s="272"/>
      <c r="S21" s="272"/>
      <c r="T21" s="272"/>
      <c r="U21" s="273"/>
      <c r="V21" s="290"/>
      <c r="W21" s="291"/>
      <c r="X21" s="291"/>
      <c r="Y21" s="291"/>
      <c r="Z21" s="291"/>
      <c r="AA21" s="292"/>
      <c r="AB21" s="290"/>
      <c r="AC21" s="291"/>
      <c r="AD21" s="291"/>
      <c r="AE21" s="291"/>
      <c r="AF21" s="291"/>
      <c r="AG21" s="292"/>
      <c r="AH21" s="280"/>
      <c r="AI21" s="281"/>
      <c r="AJ21" s="281"/>
      <c r="AK21" s="281"/>
      <c r="AL21" s="281"/>
      <c r="AM21" s="282"/>
      <c r="AN21" s="84"/>
      <c r="AO21" s="325"/>
      <c r="AP21" s="326"/>
      <c r="AQ21" s="326"/>
      <c r="AR21" s="326"/>
      <c r="AS21" s="326"/>
      <c r="AT21" s="32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308"/>
      <c r="C22" s="308"/>
      <c r="D22" s="309"/>
      <c r="E22" s="297" t="s">
        <v>117</v>
      </c>
      <c r="F22" s="298"/>
      <c r="G22" s="298"/>
      <c r="H22" s="298"/>
      <c r="I22" s="299"/>
      <c r="J22" s="274" t="str">
        <f>IF(AND('Mapa final'!$H$10="Media",'Mapa final'!$L$10="Leve"),CONCATENATE("R",'Mapa final'!$A$10),"")</f>
        <v/>
      </c>
      <c r="K22" s="275"/>
      <c r="L22" s="275" t="str">
        <f>IF(AND('Mapa final'!$H$11="Media",'Mapa final'!$L$11="Leve"),CONCATENATE("R",'Mapa final'!$A$11),"")</f>
        <v/>
      </c>
      <c r="M22" s="275"/>
      <c r="N22" s="275" t="str">
        <f>IF(AND('Mapa final'!$H$12="Media",'Mapa final'!$L$12="Leve"),CONCATENATE("R",'Mapa final'!$A$12),"")</f>
        <v/>
      </c>
      <c r="O22" s="276"/>
      <c r="P22" s="274" t="str">
        <f>IF(AND('Mapa final'!$H$10="Media",'Mapa final'!$L$10="Menor"),CONCATENATE("R",'Mapa final'!$A$10),"")</f>
        <v/>
      </c>
      <c r="Q22" s="275"/>
      <c r="R22" s="275" t="str">
        <f>IF(AND('Mapa final'!$H$11="Media",'Mapa final'!$L$11="Menor"),CONCATENATE("R",'Mapa final'!$A$11),"")</f>
        <v/>
      </c>
      <c r="S22" s="275"/>
      <c r="T22" s="275" t="str">
        <f>IF(AND('Mapa final'!$H$12="Media",'Mapa final'!$L$12="Menor"),CONCATENATE("R",'Mapa final'!$A$12),"")</f>
        <v/>
      </c>
      <c r="U22" s="276"/>
      <c r="V22" s="274" t="str">
        <f>IF(AND('Mapa final'!$H$10="Media",'Mapa final'!$L$10="Moderado"),CONCATENATE("R",'Mapa final'!$A$10),"")</f>
        <v/>
      </c>
      <c r="W22" s="275"/>
      <c r="X22" s="275" t="str">
        <f>IF(AND('Mapa final'!$H$11="Media",'Mapa final'!$L$11="Moderado"),CONCATENATE("R",'Mapa final'!$A$11),"")</f>
        <v/>
      </c>
      <c r="Y22" s="275"/>
      <c r="Z22" s="275" t="str">
        <f>IF(AND('Mapa final'!$H$12="Media",'Mapa final'!$L$12="Moderado"),CONCATENATE("R",'Mapa final'!$A$12),"")</f>
        <v/>
      </c>
      <c r="AA22" s="276"/>
      <c r="AB22" s="293" t="str">
        <f>IF(AND('Mapa final'!$H$10="Media",'Mapa final'!$L$10="Mayor"),CONCATENATE("R",'Mapa final'!$A$10),"")</f>
        <v/>
      </c>
      <c r="AC22" s="294"/>
      <c r="AD22" s="294" t="str">
        <f>IF(AND('Mapa final'!$H$11="Media",'Mapa final'!$L$11="Mayor"),CONCATENATE("R",'Mapa final'!$A$11),"")</f>
        <v/>
      </c>
      <c r="AE22" s="294"/>
      <c r="AF22" s="294" t="str">
        <f>IF(AND('Mapa final'!$H$12="Media",'Mapa final'!$L$12="Mayor"),CONCATENATE("R",'Mapa final'!$A$12),"")</f>
        <v/>
      </c>
      <c r="AG22" s="295"/>
      <c r="AH22" s="283" t="str">
        <f>IF(AND('Mapa final'!$H$10="Media",'Mapa final'!$L$10="Catastrófico"),CONCATENATE("R",'Mapa final'!$A$10),"")</f>
        <v/>
      </c>
      <c r="AI22" s="284"/>
      <c r="AJ22" s="284" t="str">
        <f>IF(AND('Mapa final'!$H$11="Media",'Mapa final'!$L$11="Catastrófico"),CONCATENATE("R",'Mapa final'!$A$11),"")</f>
        <v/>
      </c>
      <c r="AK22" s="284"/>
      <c r="AL22" s="284" t="str">
        <f>IF(AND('Mapa final'!$H$12="Media",'Mapa final'!$L$12="Catastrófico"),CONCATENATE("R",'Mapa final'!$A$12),"")</f>
        <v/>
      </c>
      <c r="AM22" s="285"/>
      <c r="AN22" s="84"/>
      <c r="AO22" s="328" t="s">
        <v>81</v>
      </c>
      <c r="AP22" s="329"/>
      <c r="AQ22" s="329"/>
      <c r="AR22" s="329"/>
      <c r="AS22" s="329"/>
      <c r="AT22" s="33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308"/>
      <c r="C23" s="308"/>
      <c r="D23" s="309"/>
      <c r="E23" s="300"/>
      <c r="F23" s="301"/>
      <c r="G23" s="301"/>
      <c r="H23" s="301"/>
      <c r="I23" s="302"/>
      <c r="J23" s="268"/>
      <c r="K23" s="269"/>
      <c r="L23" s="269"/>
      <c r="M23" s="269"/>
      <c r="N23" s="269"/>
      <c r="O23" s="270"/>
      <c r="P23" s="268"/>
      <c r="Q23" s="269"/>
      <c r="R23" s="269"/>
      <c r="S23" s="269"/>
      <c r="T23" s="269"/>
      <c r="U23" s="270"/>
      <c r="V23" s="268"/>
      <c r="W23" s="269"/>
      <c r="X23" s="269"/>
      <c r="Y23" s="269"/>
      <c r="Z23" s="269"/>
      <c r="AA23" s="270"/>
      <c r="AB23" s="286"/>
      <c r="AC23" s="287"/>
      <c r="AD23" s="287"/>
      <c r="AE23" s="287"/>
      <c r="AF23" s="287"/>
      <c r="AG23" s="289"/>
      <c r="AH23" s="277"/>
      <c r="AI23" s="278"/>
      <c r="AJ23" s="278"/>
      <c r="AK23" s="278"/>
      <c r="AL23" s="278"/>
      <c r="AM23" s="279"/>
      <c r="AN23" s="84"/>
      <c r="AO23" s="331"/>
      <c r="AP23" s="332"/>
      <c r="AQ23" s="332"/>
      <c r="AR23" s="332"/>
      <c r="AS23" s="332"/>
      <c r="AT23" s="33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308"/>
      <c r="C24" s="308"/>
      <c r="D24" s="309"/>
      <c r="E24" s="300"/>
      <c r="F24" s="301"/>
      <c r="G24" s="301"/>
      <c r="H24" s="301"/>
      <c r="I24" s="302"/>
      <c r="J24" s="268" t="str">
        <f>IF(AND('Mapa final'!$H$13="Media",'Mapa final'!$L$13="Leve"),CONCATENATE("R",'Mapa final'!$A$13),"")</f>
        <v/>
      </c>
      <c r="K24" s="269"/>
      <c r="L24" s="269" t="str">
        <f>IF(AND('Mapa final'!$H$14="Media",'Mapa final'!$L$14="Leve"),CONCATENATE("R",'Mapa final'!$A$14),"")</f>
        <v/>
      </c>
      <c r="M24" s="269"/>
      <c r="N24" s="269" t="str">
        <f ca="1">IF(AND('Mapa final'!$H$15="Media",'Mapa final'!$L$15="Leve"),CONCATENATE("R",'Mapa final'!$A$15),"")</f>
        <v/>
      </c>
      <c r="O24" s="270"/>
      <c r="P24" s="268" t="str">
        <f>IF(AND('Mapa final'!$H$13="Media",'Mapa final'!$L$13="Menor"),CONCATENATE("R",'Mapa final'!$A$13),"")</f>
        <v/>
      </c>
      <c r="Q24" s="269"/>
      <c r="R24" s="269" t="str">
        <f>IF(AND('Mapa final'!$H$14="Media",'Mapa final'!$L$14="Menor"),CONCATENATE("R",'Mapa final'!$A$14),"")</f>
        <v/>
      </c>
      <c r="S24" s="269"/>
      <c r="T24" s="269" t="str">
        <f ca="1">IF(AND('Mapa final'!$H$15="Media",'Mapa final'!$L$15="Menor"),CONCATENATE("R",'Mapa final'!$A$15),"")</f>
        <v/>
      </c>
      <c r="U24" s="270"/>
      <c r="V24" s="268" t="str">
        <f>IF(AND('Mapa final'!$H$13="Media",'Mapa final'!$L$13="Moderado"),CONCATENATE("R",'Mapa final'!$A$13),"")</f>
        <v>R4</v>
      </c>
      <c r="W24" s="269"/>
      <c r="X24" s="269" t="str">
        <f>IF(AND('Mapa final'!$H$14="Media",'Mapa final'!$L$14="Moderado"),CONCATENATE("R",'Mapa final'!$A$14),"")</f>
        <v/>
      </c>
      <c r="Y24" s="269"/>
      <c r="Z24" s="269" t="str">
        <f ca="1">IF(AND('Mapa final'!$H$15="Media",'Mapa final'!$L$15="Moderado"),CONCATENATE("R",'Mapa final'!$A$15),"")</f>
        <v/>
      </c>
      <c r="AA24" s="270"/>
      <c r="AB24" s="286" t="str">
        <f>IF(AND('Mapa final'!$H$13="Media",'Mapa final'!$L$13="Mayor"),CONCATENATE("R",'Mapa final'!$A$13),"")</f>
        <v/>
      </c>
      <c r="AC24" s="287"/>
      <c r="AD24" s="288" t="str">
        <f>IF(AND('Mapa final'!$H$14="Media",'Mapa final'!$L$14="Mayor"),CONCATENATE("R",'Mapa final'!$A$14),"")</f>
        <v/>
      </c>
      <c r="AE24" s="288"/>
      <c r="AF24" s="288" t="str">
        <f ca="1">IF(AND('Mapa final'!$H$15="Media",'Mapa final'!$L$15="Mayor"),CONCATENATE("R",'Mapa final'!$A$15),"")</f>
        <v/>
      </c>
      <c r="AG24" s="289"/>
      <c r="AH24" s="277" t="str">
        <f>IF(AND('Mapa final'!$H$13="Media",'Mapa final'!$L$13="Catastrófico"),CONCATENATE("R",'Mapa final'!$A$13),"")</f>
        <v/>
      </c>
      <c r="AI24" s="278"/>
      <c r="AJ24" s="278" t="str">
        <f>IF(AND('Mapa final'!$H$14="Media",'Mapa final'!$L$14="Catastrófico"),CONCATENATE("R",'Mapa final'!$A$14),"")</f>
        <v/>
      </c>
      <c r="AK24" s="278"/>
      <c r="AL24" s="278" t="str">
        <f ca="1">IF(AND('Mapa final'!$H$15="Media",'Mapa final'!$L$15="Catastrófico"),CONCATENATE("R",'Mapa final'!$A$15),"")</f>
        <v/>
      </c>
      <c r="AM24" s="279"/>
      <c r="AN24" s="84"/>
      <c r="AO24" s="331"/>
      <c r="AP24" s="332"/>
      <c r="AQ24" s="332"/>
      <c r="AR24" s="332"/>
      <c r="AS24" s="332"/>
      <c r="AT24" s="33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308"/>
      <c r="C25" s="308"/>
      <c r="D25" s="309"/>
      <c r="E25" s="300"/>
      <c r="F25" s="301"/>
      <c r="G25" s="301"/>
      <c r="H25" s="301"/>
      <c r="I25" s="302"/>
      <c r="J25" s="268"/>
      <c r="K25" s="269"/>
      <c r="L25" s="269"/>
      <c r="M25" s="269"/>
      <c r="N25" s="269"/>
      <c r="O25" s="270"/>
      <c r="P25" s="268"/>
      <c r="Q25" s="269"/>
      <c r="R25" s="269"/>
      <c r="S25" s="269"/>
      <c r="T25" s="269"/>
      <c r="U25" s="270"/>
      <c r="V25" s="268"/>
      <c r="W25" s="269"/>
      <c r="X25" s="269"/>
      <c r="Y25" s="269"/>
      <c r="Z25" s="269"/>
      <c r="AA25" s="270"/>
      <c r="AB25" s="286"/>
      <c r="AC25" s="287"/>
      <c r="AD25" s="288"/>
      <c r="AE25" s="288"/>
      <c r="AF25" s="288"/>
      <c r="AG25" s="289"/>
      <c r="AH25" s="277"/>
      <c r="AI25" s="278"/>
      <c r="AJ25" s="278"/>
      <c r="AK25" s="278"/>
      <c r="AL25" s="278"/>
      <c r="AM25" s="279"/>
      <c r="AN25" s="84"/>
      <c r="AO25" s="331"/>
      <c r="AP25" s="332"/>
      <c r="AQ25" s="332"/>
      <c r="AR25" s="332"/>
      <c r="AS25" s="332"/>
      <c r="AT25" s="33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308"/>
      <c r="C26" s="308"/>
      <c r="D26" s="309"/>
      <c r="E26" s="300"/>
      <c r="F26" s="301"/>
      <c r="G26" s="301"/>
      <c r="H26" s="301"/>
      <c r="I26" s="302"/>
      <c r="J26" s="268" t="str">
        <f ca="1">IF(AND('Mapa final'!$H$21="Media",'Mapa final'!$L$21="Leve"),CONCATENATE("R",'Mapa final'!$A$21),"")</f>
        <v/>
      </c>
      <c r="K26" s="269"/>
      <c r="L26" s="269" t="str">
        <f ca="1">IF(AND('Mapa final'!$H$27="Media",'Mapa final'!$L$27="Leve"),CONCATENATE("R",'Mapa final'!$A$27),"")</f>
        <v/>
      </c>
      <c r="M26" s="269"/>
      <c r="N26" s="269" t="str">
        <f ca="1">IF(AND('Mapa final'!$H$33="Media",'Mapa final'!$L$33="Leve"),CONCATENATE("R",'Mapa final'!$A$33),"")</f>
        <v/>
      </c>
      <c r="O26" s="270"/>
      <c r="P26" s="268" t="str">
        <f ca="1">IF(AND('Mapa final'!$H$21="Media",'Mapa final'!$L$21="Menor"),CONCATENATE("R",'Mapa final'!$A$21),"")</f>
        <v/>
      </c>
      <c r="Q26" s="269"/>
      <c r="R26" s="269" t="str">
        <f ca="1">IF(AND('Mapa final'!$H$27="Media",'Mapa final'!$L$27="Menor"),CONCATENATE("R",'Mapa final'!$A$27),"")</f>
        <v/>
      </c>
      <c r="S26" s="269"/>
      <c r="T26" s="269" t="str">
        <f ca="1">IF(AND('Mapa final'!$H$33="Media",'Mapa final'!$L$33="Menor"),CONCATENATE("R",'Mapa final'!$A$33),"")</f>
        <v/>
      </c>
      <c r="U26" s="270"/>
      <c r="V26" s="268" t="str">
        <f ca="1">IF(AND('Mapa final'!$H$21="Media",'Mapa final'!$L$21="Moderado"),CONCATENATE("R",'Mapa final'!$A$21),"")</f>
        <v/>
      </c>
      <c r="W26" s="269"/>
      <c r="X26" s="269" t="str">
        <f ca="1">IF(AND('Mapa final'!$H$27="Media",'Mapa final'!$L$27="Moderado"),CONCATENATE("R",'Mapa final'!$A$27),"")</f>
        <v/>
      </c>
      <c r="Y26" s="269"/>
      <c r="Z26" s="269" t="str">
        <f ca="1">IF(AND('Mapa final'!$H$33="Media",'Mapa final'!$L$33="Moderado"),CONCATENATE("R",'Mapa final'!$A$33),"")</f>
        <v/>
      </c>
      <c r="AA26" s="270"/>
      <c r="AB26" s="286" t="str">
        <f ca="1">IF(AND('Mapa final'!$H$21="Media",'Mapa final'!$L$21="Mayor"),CONCATENATE("R",'Mapa final'!$A$21),"")</f>
        <v/>
      </c>
      <c r="AC26" s="287"/>
      <c r="AD26" s="288" t="str">
        <f ca="1">IF(AND('Mapa final'!$H$27="Media",'Mapa final'!$L$27="Mayor"),CONCATENATE("R",'Mapa final'!$A$27),"")</f>
        <v/>
      </c>
      <c r="AE26" s="288"/>
      <c r="AF26" s="288" t="str">
        <f ca="1">IF(AND('Mapa final'!$H$33="Media",'Mapa final'!$L$33="Mayor"),CONCATENATE("R",'Mapa final'!$A$33),"")</f>
        <v/>
      </c>
      <c r="AG26" s="289"/>
      <c r="AH26" s="277" t="str">
        <f ca="1">IF(AND('Mapa final'!$H$21="Media",'Mapa final'!$L$21="Catastrófico"),CONCATENATE("R",'Mapa final'!$A$21),"")</f>
        <v/>
      </c>
      <c r="AI26" s="278"/>
      <c r="AJ26" s="278" t="str">
        <f ca="1">IF(AND('Mapa final'!$H$27="Media",'Mapa final'!$L$27="Catastrófico"),CONCATENATE("R",'Mapa final'!$A$27),"")</f>
        <v/>
      </c>
      <c r="AK26" s="278"/>
      <c r="AL26" s="278" t="str">
        <f ca="1">IF(AND('Mapa final'!$H$33="Media",'Mapa final'!$L$33="Catastrófico"),CONCATENATE("R",'Mapa final'!$A$33),"")</f>
        <v/>
      </c>
      <c r="AM26" s="279"/>
      <c r="AN26" s="84"/>
      <c r="AO26" s="331"/>
      <c r="AP26" s="332"/>
      <c r="AQ26" s="332"/>
      <c r="AR26" s="332"/>
      <c r="AS26" s="332"/>
      <c r="AT26" s="33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308"/>
      <c r="C27" s="308"/>
      <c r="D27" s="309"/>
      <c r="E27" s="300"/>
      <c r="F27" s="301"/>
      <c r="G27" s="301"/>
      <c r="H27" s="301"/>
      <c r="I27" s="302"/>
      <c r="J27" s="268"/>
      <c r="K27" s="269"/>
      <c r="L27" s="269"/>
      <c r="M27" s="269"/>
      <c r="N27" s="269"/>
      <c r="O27" s="270"/>
      <c r="P27" s="268"/>
      <c r="Q27" s="269"/>
      <c r="R27" s="269"/>
      <c r="S27" s="269"/>
      <c r="T27" s="269"/>
      <c r="U27" s="270"/>
      <c r="V27" s="268"/>
      <c r="W27" s="269"/>
      <c r="X27" s="269"/>
      <c r="Y27" s="269"/>
      <c r="Z27" s="269"/>
      <c r="AA27" s="270"/>
      <c r="AB27" s="286"/>
      <c r="AC27" s="287"/>
      <c r="AD27" s="288"/>
      <c r="AE27" s="288"/>
      <c r="AF27" s="288"/>
      <c r="AG27" s="289"/>
      <c r="AH27" s="277"/>
      <c r="AI27" s="278"/>
      <c r="AJ27" s="278"/>
      <c r="AK27" s="278"/>
      <c r="AL27" s="278"/>
      <c r="AM27" s="279"/>
      <c r="AN27" s="84"/>
      <c r="AO27" s="331"/>
      <c r="AP27" s="332"/>
      <c r="AQ27" s="332"/>
      <c r="AR27" s="332"/>
      <c r="AS27" s="332"/>
      <c r="AT27" s="33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308"/>
      <c r="C28" s="308"/>
      <c r="D28" s="309"/>
      <c r="E28" s="300"/>
      <c r="F28" s="301"/>
      <c r="G28" s="301"/>
      <c r="H28" s="301"/>
      <c r="I28" s="302"/>
      <c r="J28" s="268" t="str">
        <f ca="1">IF(AND('Mapa final'!$H$39="Media",'Mapa final'!$L$39="Leve"),CONCATENATE("R",'Mapa final'!$A$39),"")</f>
        <v/>
      </c>
      <c r="K28" s="269"/>
      <c r="L28" s="269" t="str">
        <f>IF(AND('Mapa final'!$H$45="Media",'Mapa final'!$L$45="Leve"),CONCATENATE("R",'Mapa final'!$A$45),"")</f>
        <v/>
      </c>
      <c r="M28" s="269"/>
      <c r="N28" s="269" t="str">
        <f>IF(AND('Mapa final'!$H$51="Media",'Mapa final'!$L$51="Leve"),CONCATENATE("R",'Mapa final'!$A$51),"")</f>
        <v/>
      </c>
      <c r="O28" s="270"/>
      <c r="P28" s="268" t="str">
        <f ca="1">IF(AND('Mapa final'!$H$39="Media",'Mapa final'!$L$39="Menor"),CONCATENATE("R",'Mapa final'!$A$39),"")</f>
        <v/>
      </c>
      <c r="Q28" s="269"/>
      <c r="R28" s="269" t="str">
        <f>IF(AND('Mapa final'!$H$45="Media",'Mapa final'!$L$45="Menor"),CONCATENATE("R",'Mapa final'!$A$45),"")</f>
        <v/>
      </c>
      <c r="S28" s="269"/>
      <c r="T28" s="269" t="str">
        <f>IF(AND('Mapa final'!$H$51="Media",'Mapa final'!$L$51="Menor"),CONCATENATE("R",'Mapa final'!$A$51),"")</f>
        <v/>
      </c>
      <c r="U28" s="270"/>
      <c r="V28" s="268" t="str">
        <f ca="1">IF(AND('Mapa final'!$H$39="Media",'Mapa final'!$L$39="Moderado"),CONCATENATE("R",'Mapa final'!$A$39),"")</f>
        <v/>
      </c>
      <c r="W28" s="269"/>
      <c r="X28" s="269" t="str">
        <f>IF(AND('Mapa final'!$H$45="Media",'Mapa final'!$L$45="Moderado"),CONCATENATE("R",'Mapa final'!$A$45),"")</f>
        <v/>
      </c>
      <c r="Y28" s="269"/>
      <c r="Z28" s="269" t="str">
        <f>IF(AND('Mapa final'!$H$51="Media",'Mapa final'!$L$51="Moderado"),CONCATENATE("R",'Mapa final'!$A$51),"")</f>
        <v/>
      </c>
      <c r="AA28" s="270"/>
      <c r="AB28" s="286" t="str">
        <f ca="1">IF(AND('Mapa final'!$H$39="Media",'Mapa final'!$L$39="Mayor"),CONCATENATE("R",'Mapa final'!$A$39),"")</f>
        <v/>
      </c>
      <c r="AC28" s="287"/>
      <c r="AD28" s="288" t="str">
        <f>IF(AND('Mapa final'!$H$45="Media",'Mapa final'!$L$45="Mayor"),CONCATENATE("R",'Mapa final'!$A$45),"")</f>
        <v/>
      </c>
      <c r="AE28" s="288"/>
      <c r="AF28" s="288" t="str">
        <f>IF(AND('Mapa final'!$H$51="Media",'Mapa final'!$L$51="Mayor"),CONCATENATE("R",'Mapa final'!$A$51),"")</f>
        <v/>
      </c>
      <c r="AG28" s="289"/>
      <c r="AH28" s="277" t="str">
        <f ca="1">IF(AND('Mapa final'!$H$39="Media",'Mapa final'!$L$39="Catastrófico"),CONCATENATE("R",'Mapa final'!$A$39),"")</f>
        <v/>
      </c>
      <c r="AI28" s="278"/>
      <c r="AJ28" s="278" t="str">
        <f>IF(AND('Mapa final'!$H$45="Media",'Mapa final'!$L$45="Catastrófico"),CONCATENATE("R",'Mapa final'!$A$45),"")</f>
        <v/>
      </c>
      <c r="AK28" s="278"/>
      <c r="AL28" s="278" t="str">
        <f>IF(AND('Mapa final'!$H$51="Media",'Mapa final'!$L$51="Catastrófico"),CONCATENATE("R",'Mapa final'!$A$51),"")</f>
        <v/>
      </c>
      <c r="AM28" s="279"/>
      <c r="AN28" s="84"/>
      <c r="AO28" s="331"/>
      <c r="AP28" s="332"/>
      <c r="AQ28" s="332"/>
      <c r="AR28" s="332"/>
      <c r="AS28" s="332"/>
      <c r="AT28" s="33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308"/>
      <c r="C29" s="308"/>
      <c r="D29" s="309"/>
      <c r="E29" s="303"/>
      <c r="F29" s="304"/>
      <c r="G29" s="304"/>
      <c r="H29" s="304"/>
      <c r="I29" s="305"/>
      <c r="J29" s="268"/>
      <c r="K29" s="269"/>
      <c r="L29" s="269"/>
      <c r="M29" s="269"/>
      <c r="N29" s="269"/>
      <c r="O29" s="270"/>
      <c r="P29" s="271"/>
      <c r="Q29" s="272"/>
      <c r="R29" s="272"/>
      <c r="S29" s="272"/>
      <c r="T29" s="272"/>
      <c r="U29" s="273"/>
      <c r="V29" s="271"/>
      <c r="W29" s="272"/>
      <c r="X29" s="272"/>
      <c r="Y29" s="272"/>
      <c r="Z29" s="272"/>
      <c r="AA29" s="273"/>
      <c r="AB29" s="290"/>
      <c r="AC29" s="291"/>
      <c r="AD29" s="291"/>
      <c r="AE29" s="291"/>
      <c r="AF29" s="291"/>
      <c r="AG29" s="292"/>
      <c r="AH29" s="280"/>
      <c r="AI29" s="281"/>
      <c r="AJ29" s="281"/>
      <c r="AK29" s="281"/>
      <c r="AL29" s="281"/>
      <c r="AM29" s="282"/>
      <c r="AN29" s="84"/>
      <c r="AO29" s="334"/>
      <c r="AP29" s="335"/>
      <c r="AQ29" s="335"/>
      <c r="AR29" s="335"/>
      <c r="AS29" s="335"/>
      <c r="AT29" s="33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308"/>
      <c r="C30" s="308"/>
      <c r="D30" s="309"/>
      <c r="E30" s="297" t="s">
        <v>114</v>
      </c>
      <c r="F30" s="298"/>
      <c r="G30" s="298"/>
      <c r="H30" s="298"/>
      <c r="I30" s="298"/>
      <c r="J30" s="265" t="str">
        <f>IF(AND('Mapa final'!$H$10="Baja",'Mapa final'!$L$10="Leve"),CONCATENATE("R",'Mapa final'!$A$10),"")</f>
        <v/>
      </c>
      <c r="K30" s="266"/>
      <c r="L30" s="266" t="str">
        <f>IF(AND('Mapa final'!$H$11="Baja",'Mapa final'!$L$11="Leve"),CONCATENATE("R",'Mapa final'!$A$11),"")</f>
        <v/>
      </c>
      <c r="M30" s="266"/>
      <c r="N30" s="266" t="str">
        <f>IF(AND('Mapa final'!$H$12="Baja",'Mapa final'!$L$12="Leve"),CONCATENATE("R",'Mapa final'!$A$12),"")</f>
        <v/>
      </c>
      <c r="O30" s="267"/>
      <c r="P30" s="275" t="str">
        <f>IF(AND('Mapa final'!$H$10="Baja",'Mapa final'!$L$10="Menor"),CONCATENATE("R",'Mapa final'!$A$10),"")</f>
        <v/>
      </c>
      <c r="Q30" s="275"/>
      <c r="R30" s="275" t="str">
        <f>IF(AND('Mapa final'!$H$11="Baja",'Mapa final'!$L$11="Menor"),CONCATENATE("R",'Mapa final'!$A$11),"")</f>
        <v/>
      </c>
      <c r="S30" s="275"/>
      <c r="T30" s="275" t="str">
        <f>IF(AND('Mapa final'!$H$12="Baja",'Mapa final'!$L$12="Menor"),CONCATENATE("R",'Mapa final'!$A$12),"")</f>
        <v/>
      </c>
      <c r="U30" s="276"/>
      <c r="V30" s="274" t="str">
        <f>IF(AND('Mapa final'!$H$10="Baja",'Mapa final'!$L$10="Moderado"),CONCATENATE("R",'Mapa final'!$A$10),"")</f>
        <v/>
      </c>
      <c r="W30" s="275"/>
      <c r="X30" s="275" t="str">
        <f>IF(AND('Mapa final'!$H$11="Baja",'Mapa final'!$L$11="Moderado"),CONCATENATE("R",'Mapa final'!$A$11),"")</f>
        <v/>
      </c>
      <c r="Y30" s="275"/>
      <c r="Z30" s="275" t="str">
        <f>IF(AND('Mapa final'!$H$12="Baja",'Mapa final'!$L$12="Moderado"),CONCATENATE("R",'Mapa final'!$A$12),"")</f>
        <v/>
      </c>
      <c r="AA30" s="276"/>
      <c r="AB30" s="293" t="str">
        <f>IF(AND('Mapa final'!$H$10="Baja",'Mapa final'!$L$10="Mayor"),CONCATENATE("R",'Mapa final'!$A$10),"")</f>
        <v>R1</v>
      </c>
      <c r="AC30" s="294"/>
      <c r="AD30" s="294" t="str">
        <f>IF(AND('Mapa final'!$H$11="Baja",'Mapa final'!$L$11="Mayor"),CONCATENATE("R",'Mapa final'!$A$11),"")</f>
        <v>R2</v>
      </c>
      <c r="AE30" s="294"/>
      <c r="AF30" s="294" t="str">
        <f>IF(AND('Mapa final'!$H$12="Baja",'Mapa final'!$L$12="Mayor"),CONCATENATE("R",'Mapa final'!$A$12),"")</f>
        <v/>
      </c>
      <c r="AG30" s="295"/>
      <c r="AH30" s="283" t="str">
        <f>IF(AND('Mapa final'!$H$10="Baja",'Mapa final'!$L$10="Catastrófico"),CONCATENATE("R",'Mapa final'!$A$10),"")</f>
        <v/>
      </c>
      <c r="AI30" s="284"/>
      <c r="AJ30" s="284" t="str">
        <f>IF(AND('Mapa final'!$H$11="Baja",'Mapa final'!$L$11="Catastrófico"),CONCATENATE("R",'Mapa final'!$A$11),"")</f>
        <v/>
      </c>
      <c r="AK30" s="284"/>
      <c r="AL30" s="284" t="str">
        <f>IF(AND('Mapa final'!$H$12="Baja",'Mapa final'!$L$12="Catastrófico"),CONCATENATE("R",'Mapa final'!$A$12),"")</f>
        <v/>
      </c>
      <c r="AM30" s="285"/>
      <c r="AN30" s="84"/>
      <c r="AO30" s="337" t="s">
        <v>82</v>
      </c>
      <c r="AP30" s="338"/>
      <c r="AQ30" s="338"/>
      <c r="AR30" s="338"/>
      <c r="AS30" s="338"/>
      <c r="AT30" s="33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308"/>
      <c r="C31" s="308"/>
      <c r="D31" s="309"/>
      <c r="E31" s="300"/>
      <c r="F31" s="301"/>
      <c r="G31" s="301"/>
      <c r="H31" s="301"/>
      <c r="I31" s="306"/>
      <c r="J31" s="259"/>
      <c r="K31" s="260"/>
      <c r="L31" s="260"/>
      <c r="M31" s="260"/>
      <c r="N31" s="260"/>
      <c r="O31" s="261"/>
      <c r="P31" s="269"/>
      <c r="Q31" s="269"/>
      <c r="R31" s="269"/>
      <c r="S31" s="269"/>
      <c r="T31" s="269"/>
      <c r="U31" s="270"/>
      <c r="V31" s="268"/>
      <c r="W31" s="269"/>
      <c r="X31" s="269"/>
      <c r="Y31" s="269"/>
      <c r="Z31" s="269"/>
      <c r="AA31" s="270"/>
      <c r="AB31" s="286"/>
      <c r="AC31" s="287"/>
      <c r="AD31" s="287"/>
      <c r="AE31" s="287"/>
      <c r="AF31" s="287"/>
      <c r="AG31" s="289"/>
      <c r="AH31" s="277"/>
      <c r="AI31" s="278"/>
      <c r="AJ31" s="278"/>
      <c r="AK31" s="278"/>
      <c r="AL31" s="278"/>
      <c r="AM31" s="279"/>
      <c r="AN31" s="84"/>
      <c r="AO31" s="340"/>
      <c r="AP31" s="341"/>
      <c r="AQ31" s="341"/>
      <c r="AR31" s="341"/>
      <c r="AS31" s="341"/>
      <c r="AT31" s="34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308"/>
      <c r="C32" s="308"/>
      <c r="D32" s="309"/>
      <c r="E32" s="300"/>
      <c r="F32" s="301"/>
      <c r="G32" s="301"/>
      <c r="H32" s="301"/>
      <c r="I32" s="306"/>
      <c r="J32" s="259" t="str">
        <f>IF(AND('Mapa final'!$H$13="Baja",'Mapa final'!$L$13="Leve"),CONCATENATE("R",'Mapa final'!$A$13),"")</f>
        <v/>
      </c>
      <c r="K32" s="260"/>
      <c r="L32" s="260" t="str">
        <f>IF(AND('Mapa final'!$H$14="Baja",'Mapa final'!$L$14="Leve"),CONCATENATE("R",'Mapa final'!$A$14),"")</f>
        <v/>
      </c>
      <c r="M32" s="260"/>
      <c r="N32" s="260" t="str">
        <f ca="1">IF(AND('Mapa final'!$H$15="Baja",'Mapa final'!$L$15="Leve"),CONCATENATE("R",'Mapa final'!$A$15),"")</f>
        <v/>
      </c>
      <c r="O32" s="261"/>
      <c r="P32" s="269" t="str">
        <f>IF(AND('Mapa final'!$H$13="Baja",'Mapa final'!$L$13="Menor"),CONCATENATE("R",'Mapa final'!$A$13),"")</f>
        <v/>
      </c>
      <c r="Q32" s="269"/>
      <c r="R32" s="269" t="str">
        <f>IF(AND('Mapa final'!$H$14="Baja",'Mapa final'!$L$14="Menor"),CONCATENATE("R",'Mapa final'!$A$14),"")</f>
        <v/>
      </c>
      <c r="S32" s="269"/>
      <c r="T32" s="269" t="str">
        <f ca="1">IF(AND('Mapa final'!$H$15="Baja",'Mapa final'!$L$15="Menor"),CONCATENATE("R",'Mapa final'!$A$15),"")</f>
        <v/>
      </c>
      <c r="U32" s="270"/>
      <c r="V32" s="268" t="str">
        <f>IF(AND('Mapa final'!$H$13="Baja",'Mapa final'!$L$13="Moderado"),CONCATENATE("R",'Mapa final'!$A$13),"")</f>
        <v/>
      </c>
      <c r="W32" s="269"/>
      <c r="X32" s="269" t="str">
        <f>IF(AND('Mapa final'!$H$14="Baja",'Mapa final'!$L$14="Moderado"),CONCATENATE("R",'Mapa final'!$A$14),"")</f>
        <v/>
      </c>
      <c r="Y32" s="269"/>
      <c r="Z32" s="269" t="str">
        <f ca="1">IF(AND('Mapa final'!$H$15="Baja",'Mapa final'!$L$15="Moderado"),CONCATENATE("R",'Mapa final'!$A$15),"")</f>
        <v/>
      </c>
      <c r="AA32" s="270"/>
      <c r="AB32" s="286" t="str">
        <f>IF(AND('Mapa final'!$H$13="Baja",'Mapa final'!$L$13="Mayor"),CONCATENATE("R",'Mapa final'!$A$13),"")</f>
        <v/>
      </c>
      <c r="AC32" s="287"/>
      <c r="AD32" s="288" t="str">
        <f>IF(AND('Mapa final'!$H$14="Baja",'Mapa final'!$L$14="Mayor"),CONCATENATE("R",'Mapa final'!$A$14),"")</f>
        <v/>
      </c>
      <c r="AE32" s="288"/>
      <c r="AF32" s="288" t="str">
        <f ca="1">IF(AND('Mapa final'!$H$15="Baja",'Mapa final'!$L$15="Mayor"),CONCATENATE("R",'Mapa final'!$A$15),"")</f>
        <v/>
      </c>
      <c r="AG32" s="289"/>
      <c r="AH32" s="277" t="str">
        <f>IF(AND('Mapa final'!$H$13="Baja",'Mapa final'!$L$13="Catastrófico"),CONCATENATE("R",'Mapa final'!$A$13),"")</f>
        <v/>
      </c>
      <c r="AI32" s="278"/>
      <c r="AJ32" s="278" t="str">
        <f>IF(AND('Mapa final'!$H$14="Baja",'Mapa final'!$L$14="Catastrófico"),CONCATENATE("R",'Mapa final'!$A$14),"")</f>
        <v/>
      </c>
      <c r="AK32" s="278"/>
      <c r="AL32" s="278" t="str">
        <f ca="1">IF(AND('Mapa final'!$H$15="Baja",'Mapa final'!$L$15="Catastrófico"),CONCATENATE("R",'Mapa final'!$A$15),"")</f>
        <v/>
      </c>
      <c r="AM32" s="279"/>
      <c r="AN32" s="84"/>
      <c r="AO32" s="340"/>
      <c r="AP32" s="341"/>
      <c r="AQ32" s="341"/>
      <c r="AR32" s="341"/>
      <c r="AS32" s="341"/>
      <c r="AT32" s="34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308"/>
      <c r="C33" s="308"/>
      <c r="D33" s="309"/>
      <c r="E33" s="300"/>
      <c r="F33" s="301"/>
      <c r="G33" s="301"/>
      <c r="H33" s="301"/>
      <c r="I33" s="306"/>
      <c r="J33" s="259"/>
      <c r="K33" s="260"/>
      <c r="L33" s="260"/>
      <c r="M33" s="260"/>
      <c r="N33" s="260"/>
      <c r="O33" s="261"/>
      <c r="P33" s="269"/>
      <c r="Q33" s="269"/>
      <c r="R33" s="269"/>
      <c r="S33" s="269"/>
      <c r="T33" s="269"/>
      <c r="U33" s="270"/>
      <c r="V33" s="268"/>
      <c r="W33" s="269"/>
      <c r="X33" s="269"/>
      <c r="Y33" s="269"/>
      <c r="Z33" s="269"/>
      <c r="AA33" s="270"/>
      <c r="AB33" s="286"/>
      <c r="AC33" s="287"/>
      <c r="AD33" s="288"/>
      <c r="AE33" s="288"/>
      <c r="AF33" s="288"/>
      <c r="AG33" s="289"/>
      <c r="AH33" s="277"/>
      <c r="AI33" s="278"/>
      <c r="AJ33" s="278"/>
      <c r="AK33" s="278"/>
      <c r="AL33" s="278"/>
      <c r="AM33" s="279"/>
      <c r="AN33" s="84"/>
      <c r="AO33" s="340"/>
      <c r="AP33" s="341"/>
      <c r="AQ33" s="341"/>
      <c r="AR33" s="341"/>
      <c r="AS33" s="341"/>
      <c r="AT33" s="34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308"/>
      <c r="C34" s="308"/>
      <c r="D34" s="309"/>
      <c r="E34" s="300"/>
      <c r="F34" s="301"/>
      <c r="G34" s="301"/>
      <c r="H34" s="301"/>
      <c r="I34" s="306"/>
      <c r="J34" s="259" t="str">
        <f ca="1">IF(AND('Mapa final'!$H$21="Baja",'Mapa final'!$L$21="Leve"),CONCATENATE("R",'Mapa final'!$A$21),"")</f>
        <v/>
      </c>
      <c r="K34" s="260"/>
      <c r="L34" s="260" t="str">
        <f ca="1">IF(AND('Mapa final'!$H$27="Baja",'Mapa final'!$L$27="Leve"),CONCATENATE("R",'Mapa final'!$A$27),"")</f>
        <v/>
      </c>
      <c r="M34" s="260"/>
      <c r="N34" s="260" t="str">
        <f ca="1">IF(AND('Mapa final'!$H$33="Baja",'Mapa final'!$L$33="Leve"),CONCATENATE("R",'Mapa final'!$A$33),"")</f>
        <v/>
      </c>
      <c r="O34" s="261"/>
      <c r="P34" s="269" t="str">
        <f ca="1">IF(AND('Mapa final'!$H$21="Baja",'Mapa final'!$L$21="Menor"),CONCATENATE("R",'Mapa final'!$A$21),"")</f>
        <v/>
      </c>
      <c r="Q34" s="269"/>
      <c r="R34" s="269" t="str">
        <f ca="1">IF(AND('Mapa final'!$H$27="Baja",'Mapa final'!$L$27="Menor"),CONCATENATE("R",'Mapa final'!$A$27),"")</f>
        <v/>
      </c>
      <c r="S34" s="269"/>
      <c r="T34" s="269" t="str">
        <f ca="1">IF(AND('Mapa final'!$H$33="Baja",'Mapa final'!$L$33="Menor"),CONCATENATE("R",'Mapa final'!$A$33),"")</f>
        <v/>
      </c>
      <c r="U34" s="270"/>
      <c r="V34" s="268" t="str">
        <f ca="1">IF(AND('Mapa final'!$H$21="Baja",'Mapa final'!$L$21="Moderado"),CONCATENATE("R",'Mapa final'!$A$21),"")</f>
        <v/>
      </c>
      <c r="W34" s="269"/>
      <c r="X34" s="269" t="str">
        <f ca="1">IF(AND('Mapa final'!$H$27="Baja",'Mapa final'!$L$27="Moderado"),CONCATENATE("R",'Mapa final'!$A$27),"")</f>
        <v/>
      </c>
      <c r="Y34" s="269"/>
      <c r="Z34" s="269" t="str">
        <f ca="1">IF(AND('Mapa final'!$H$33="Baja",'Mapa final'!$L$33="Moderado"),CONCATENATE("R",'Mapa final'!$A$33),"")</f>
        <v/>
      </c>
      <c r="AA34" s="270"/>
      <c r="AB34" s="286" t="str">
        <f ca="1">IF(AND('Mapa final'!$H$21="Baja",'Mapa final'!$L$21="Mayor"),CONCATENATE("R",'Mapa final'!$A$21),"")</f>
        <v/>
      </c>
      <c r="AC34" s="287"/>
      <c r="AD34" s="288" t="str">
        <f ca="1">IF(AND('Mapa final'!$H$27="Baja",'Mapa final'!$L$27="Mayor"),CONCATENATE("R",'Mapa final'!$A$27),"")</f>
        <v/>
      </c>
      <c r="AE34" s="288"/>
      <c r="AF34" s="288" t="str">
        <f ca="1">IF(AND('Mapa final'!$H$33="Baja",'Mapa final'!$L$33="Mayor"),CONCATENATE("R",'Mapa final'!$A$33),"")</f>
        <v/>
      </c>
      <c r="AG34" s="289"/>
      <c r="AH34" s="277" t="str">
        <f ca="1">IF(AND('Mapa final'!$H$21="Baja",'Mapa final'!$L$21="Catastrófico"),CONCATENATE("R",'Mapa final'!$A$21),"")</f>
        <v/>
      </c>
      <c r="AI34" s="278"/>
      <c r="AJ34" s="278" t="str">
        <f ca="1">IF(AND('Mapa final'!$H$27="Baja",'Mapa final'!$L$27="Catastrófico"),CONCATENATE("R",'Mapa final'!$A$27),"")</f>
        <v/>
      </c>
      <c r="AK34" s="278"/>
      <c r="AL34" s="278" t="str">
        <f ca="1">IF(AND('Mapa final'!$H$33="Baja",'Mapa final'!$L$33="Catastrófico"),CONCATENATE("R",'Mapa final'!$A$33),"")</f>
        <v/>
      </c>
      <c r="AM34" s="279"/>
      <c r="AN34" s="84"/>
      <c r="AO34" s="340"/>
      <c r="AP34" s="341"/>
      <c r="AQ34" s="341"/>
      <c r="AR34" s="341"/>
      <c r="AS34" s="341"/>
      <c r="AT34" s="34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308"/>
      <c r="C35" s="308"/>
      <c r="D35" s="309"/>
      <c r="E35" s="300"/>
      <c r="F35" s="301"/>
      <c r="G35" s="301"/>
      <c r="H35" s="301"/>
      <c r="I35" s="306"/>
      <c r="J35" s="259"/>
      <c r="K35" s="260"/>
      <c r="L35" s="260"/>
      <c r="M35" s="260"/>
      <c r="N35" s="260"/>
      <c r="O35" s="261"/>
      <c r="P35" s="269"/>
      <c r="Q35" s="269"/>
      <c r="R35" s="269"/>
      <c r="S35" s="269"/>
      <c r="T35" s="269"/>
      <c r="U35" s="270"/>
      <c r="V35" s="268"/>
      <c r="W35" s="269"/>
      <c r="X35" s="269"/>
      <c r="Y35" s="269"/>
      <c r="Z35" s="269"/>
      <c r="AA35" s="270"/>
      <c r="AB35" s="286"/>
      <c r="AC35" s="287"/>
      <c r="AD35" s="288"/>
      <c r="AE35" s="288"/>
      <c r="AF35" s="288"/>
      <c r="AG35" s="289"/>
      <c r="AH35" s="277"/>
      <c r="AI35" s="278"/>
      <c r="AJ35" s="278"/>
      <c r="AK35" s="278"/>
      <c r="AL35" s="278"/>
      <c r="AM35" s="279"/>
      <c r="AN35" s="84"/>
      <c r="AO35" s="340"/>
      <c r="AP35" s="341"/>
      <c r="AQ35" s="341"/>
      <c r="AR35" s="341"/>
      <c r="AS35" s="341"/>
      <c r="AT35" s="34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308"/>
      <c r="C36" s="308"/>
      <c r="D36" s="309"/>
      <c r="E36" s="300"/>
      <c r="F36" s="301"/>
      <c r="G36" s="301"/>
      <c r="H36" s="301"/>
      <c r="I36" s="306"/>
      <c r="J36" s="259" t="str">
        <f ca="1">IF(AND('Mapa final'!$H$39="Baja",'Mapa final'!$L$39="Leve"),CONCATENATE("R",'Mapa final'!$A$39),"")</f>
        <v/>
      </c>
      <c r="K36" s="260"/>
      <c r="L36" s="260" t="str">
        <f>IF(AND('Mapa final'!$H$45="Baja",'Mapa final'!$L$45="Leve"),CONCATENATE("R",'Mapa final'!$A$45),"")</f>
        <v/>
      </c>
      <c r="M36" s="260"/>
      <c r="N36" s="260" t="str">
        <f>IF(AND('Mapa final'!$H$51="Baja",'Mapa final'!$L$51="Leve"),CONCATENATE("R",'Mapa final'!$A$51),"")</f>
        <v/>
      </c>
      <c r="O36" s="261"/>
      <c r="P36" s="269" t="str">
        <f ca="1">IF(AND('Mapa final'!$H$39="Baja",'Mapa final'!$L$39="Menor"),CONCATENATE("R",'Mapa final'!$A$39),"")</f>
        <v/>
      </c>
      <c r="Q36" s="269"/>
      <c r="R36" s="269" t="str">
        <f>IF(AND('Mapa final'!$H$45="Baja",'Mapa final'!$L$45="Menor"),CONCATENATE("R",'Mapa final'!$A$45),"")</f>
        <v/>
      </c>
      <c r="S36" s="269"/>
      <c r="T36" s="269" t="str">
        <f>IF(AND('Mapa final'!$H$51="Baja",'Mapa final'!$L$51="Menor"),CONCATENATE("R",'Mapa final'!$A$51),"")</f>
        <v/>
      </c>
      <c r="U36" s="270"/>
      <c r="V36" s="268" t="str">
        <f ca="1">IF(AND('Mapa final'!$H$39="Baja",'Mapa final'!$L$39="Moderado"),CONCATENATE("R",'Mapa final'!$A$39),"")</f>
        <v/>
      </c>
      <c r="W36" s="269"/>
      <c r="X36" s="269" t="str">
        <f>IF(AND('Mapa final'!$H$45="Baja",'Mapa final'!$L$45="Moderado"),CONCATENATE("R",'Mapa final'!$A$45),"")</f>
        <v/>
      </c>
      <c r="Y36" s="269"/>
      <c r="Z36" s="269" t="str">
        <f>IF(AND('Mapa final'!$H$51="Baja",'Mapa final'!$L$51="Moderado"),CONCATENATE("R",'Mapa final'!$A$51),"")</f>
        <v/>
      </c>
      <c r="AA36" s="270"/>
      <c r="AB36" s="286" t="str">
        <f ca="1">IF(AND('Mapa final'!$H$39="Baja",'Mapa final'!$L$39="Mayor"),CONCATENATE("R",'Mapa final'!$A$39),"")</f>
        <v/>
      </c>
      <c r="AC36" s="287"/>
      <c r="AD36" s="288" t="str">
        <f>IF(AND('Mapa final'!$H$45="Baja",'Mapa final'!$L$45="Mayor"),CONCATENATE("R",'Mapa final'!$A$45),"")</f>
        <v/>
      </c>
      <c r="AE36" s="288"/>
      <c r="AF36" s="288" t="str">
        <f>IF(AND('Mapa final'!$H$51="Baja",'Mapa final'!$L$51="Mayor"),CONCATENATE("R",'Mapa final'!$A$51),"")</f>
        <v/>
      </c>
      <c r="AG36" s="289"/>
      <c r="AH36" s="277" t="str">
        <f ca="1">IF(AND('Mapa final'!$H$39="Baja",'Mapa final'!$L$39="Catastrófico"),CONCATENATE("R",'Mapa final'!$A$39),"")</f>
        <v/>
      </c>
      <c r="AI36" s="278"/>
      <c r="AJ36" s="278" t="str">
        <f>IF(AND('Mapa final'!$H$45="Baja",'Mapa final'!$L$45="Catastrófico"),CONCATENATE("R",'Mapa final'!$A$45),"")</f>
        <v/>
      </c>
      <c r="AK36" s="278"/>
      <c r="AL36" s="278" t="str">
        <f>IF(AND('Mapa final'!$H$51="Baja",'Mapa final'!$L$51="Catastrófico"),CONCATENATE("R",'Mapa final'!$A$51),"")</f>
        <v/>
      </c>
      <c r="AM36" s="279"/>
      <c r="AN36" s="84"/>
      <c r="AO36" s="340"/>
      <c r="AP36" s="341"/>
      <c r="AQ36" s="341"/>
      <c r="AR36" s="341"/>
      <c r="AS36" s="341"/>
      <c r="AT36" s="34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308"/>
      <c r="C37" s="308"/>
      <c r="D37" s="309"/>
      <c r="E37" s="303"/>
      <c r="F37" s="304"/>
      <c r="G37" s="304"/>
      <c r="H37" s="304"/>
      <c r="I37" s="304"/>
      <c r="J37" s="262"/>
      <c r="K37" s="263"/>
      <c r="L37" s="263"/>
      <c r="M37" s="263"/>
      <c r="N37" s="263"/>
      <c r="O37" s="264"/>
      <c r="P37" s="272"/>
      <c r="Q37" s="272"/>
      <c r="R37" s="272"/>
      <c r="S37" s="272"/>
      <c r="T37" s="272"/>
      <c r="U37" s="273"/>
      <c r="V37" s="271"/>
      <c r="W37" s="272"/>
      <c r="X37" s="272"/>
      <c r="Y37" s="272"/>
      <c r="Z37" s="272"/>
      <c r="AA37" s="273"/>
      <c r="AB37" s="290"/>
      <c r="AC37" s="291"/>
      <c r="AD37" s="291"/>
      <c r="AE37" s="291"/>
      <c r="AF37" s="291"/>
      <c r="AG37" s="292"/>
      <c r="AH37" s="280"/>
      <c r="AI37" s="281"/>
      <c r="AJ37" s="281"/>
      <c r="AK37" s="281"/>
      <c r="AL37" s="281"/>
      <c r="AM37" s="282"/>
      <c r="AN37" s="84"/>
      <c r="AO37" s="343"/>
      <c r="AP37" s="344"/>
      <c r="AQ37" s="344"/>
      <c r="AR37" s="344"/>
      <c r="AS37" s="344"/>
      <c r="AT37" s="34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308"/>
      <c r="C38" s="308"/>
      <c r="D38" s="309"/>
      <c r="E38" s="297" t="s">
        <v>113</v>
      </c>
      <c r="F38" s="298"/>
      <c r="G38" s="298"/>
      <c r="H38" s="298"/>
      <c r="I38" s="299"/>
      <c r="J38" s="265" t="str">
        <f>IF(AND('Mapa final'!$H$10="Muy Baja",'Mapa final'!$L$10="Leve"),CONCATENATE("R",'Mapa final'!$A$10),"")</f>
        <v/>
      </c>
      <c r="K38" s="266"/>
      <c r="L38" s="266" t="str">
        <f>IF(AND('Mapa final'!$H$11="Muy Baja",'Mapa final'!$L$11="Leve"),CONCATENATE("R",'Mapa final'!$A$11),"")</f>
        <v/>
      </c>
      <c r="M38" s="266"/>
      <c r="N38" s="266" t="str">
        <f>IF(AND('Mapa final'!$H$12="Muy Baja",'Mapa final'!$L$12="Leve"),CONCATENATE("R",'Mapa final'!$A$12),"")</f>
        <v/>
      </c>
      <c r="O38" s="267"/>
      <c r="P38" s="265" t="str">
        <f>IF(AND('Mapa final'!$H$10="Muy Baja",'Mapa final'!$L$10="Menor"),CONCATENATE("R",'Mapa final'!$A$10),"")</f>
        <v/>
      </c>
      <c r="Q38" s="266"/>
      <c r="R38" s="266" t="str">
        <f>IF(AND('Mapa final'!$H$11="Muy Baja",'Mapa final'!$L$11="Menor"),CONCATENATE("R",'Mapa final'!$A$11),"")</f>
        <v/>
      </c>
      <c r="S38" s="266"/>
      <c r="T38" s="266" t="str">
        <f>IF(AND('Mapa final'!$H$12="Muy Baja",'Mapa final'!$L$12="Menor"),CONCATENATE("R",'Mapa final'!$A$12),"")</f>
        <v/>
      </c>
      <c r="U38" s="267"/>
      <c r="V38" s="274" t="str">
        <f>IF(AND('Mapa final'!$H$10="Muy Baja",'Mapa final'!$L$10="Moderado"),CONCATENATE("R",'Mapa final'!$A$10),"")</f>
        <v/>
      </c>
      <c r="W38" s="275"/>
      <c r="X38" s="275" t="str">
        <f>IF(AND('Mapa final'!$H$11="Muy Baja",'Mapa final'!$L$11="Moderado"),CONCATENATE("R",'Mapa final'!$A$11),"")</f>
        <v/>
      </c>
      <c r="Y38" s="275"/>
      <c r="Z38" s="275" t="str">
        <f>IF(AND('Mapa final'!$H$12="Muy Baja",'Mapa final'!$L$12="Moderado"),CONCATENATE("R",'Mapa final'!$A$12),"")</f>
        <v/>
      </c>
      <c r="AA38" s="276"/>
      <c r="AB38" s="293" t="str">
        <f>IF(AND('Mapa final'!$H$10="Muy Baja",'Mapa final'!$L$10="Mayor"),CONCATENATE("R",'Mapa final'!$A$10),"")</f>
        <v/>
      </c>
      <c r="AC38" s="294"/>
      <c r="AD38" s="294" t="str">
        <f>IF(AND('Mapa final'!$H$11="Muy Baja",'Mapa final'!$L$11="Mayor"),CONCATENATE("R",'Mapa final'!$A$11),"")</f>
        <v/>
      </c>
      <c r="AE38" s="294"/>
      <c r="AF38" s="294" t="str">
        <f>IF(AND('Mapa final'!$H$12="Muy Baja",'Mapa final'!$L$12="Mayor"),CONCATENATE("R",'Mapa final'!$A$12),"")</f>
        <v/>
      </c>
      <c r="AG38" s="295"/>
      <c r="AH38" s="283" t="str">
        <f>IF(AND('Mapa final'!$H$10="Muy Baja",'Mapa final'!$L$10="Catastrófico"),CONCATENATE("R",'Mapa final'!$A$10),"")</f>
        <v/>
      </c>
      <c r="AI38" s="284"/>
      <c r="AJ38" s="284" t="str">
        <f>IF(AND('Mapa final'!$H$11="Muy Baja",'Mapa final'!$L$11="Catastrófico"),CONCATENATE("R",'Mapa final'!$A$11),"")</f>
        <v/>
      </c>
      <c r="AK38" s="284"/>
      <c r="AL38" s="284" t="str">
        <f>IF(AND('Mapa final'!$H$12="Muy Baja",'Mapa final'!$L$12="Catastrófico"),CONCATENATE("R",'Mapa final'!$A$12),"")</f>
        <v/>
      </c>
      <c r="AM38" s="28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308"/>
      <c r="C39" s="308"/>
      <c r="D39" s="309"/>
      <c r="E39" s="300"/>
      <c r="F39" s="301"/>
      <c r="G39" s="301"/>
      <c r="H39" s="301"/>
      <c r="I39" s="302"/>
      <c r="J39" s="259"/>
      <c r="K39" s="260"/>
      <c r="L39" s="260"/>
      <c r="M39" s="260"/>
      <c r="N39" s="260"/>
      <c r="O39" s="261"/>
      <c r="P39" s="259"/>
      <c r="Q39" s="260"/>
      <c r="R39" s="260"/>
      <c r="S39" s="260"/>
      <c r="T39" s="260"/>
      <c r="U39" s="261"/>
      <c r="V39" s="268"/>
      <c r="W39" s="269"/>
      <c r="X39" s="269"/>
      <c r="Y39" s="269"/>
      <c r="Z39" s="269"/>
      <c r="AA39" s="270"/>
      <c r="AB39" s="286"/>
      <c r="AC39" s="287"/>
      <c r="AD39" s="287"/>
      <c r="AE39" s="287"/>
      <c r="AF39" s="287"/>
      <c r="AG39" s="289"/>
      <c r="AH39" s="277"/>
      <c r="AI39" s="278"/>
      <c r="AJ39" s="278"/>
      <c r="AK39" s="278"/>
      <c r="AL39" s="278"/>
      <c r="AM39" s="27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308"/>
      <c r="C40" s="308"/>
      <c r="D40" s="309"/>
      <c r="E40" s="300"/>
      <c r="F40" s="301"/>
      <c r="G40" s="301"/>
      <c r="H40" s="301"/>
      <c r="I40" s="302"/>
      <c r="J40" s="259" t="str">
        <f>IF(AND('Mapa final'!$H$13="Muy Baja",'Mapa final'!$L$13="Leve"),CONCATENATE("R",'Mapa final'!$A$13),"")</f>
        <v/>
      </c>
      <c r="K40" s="260"/>
      <c r="L40" s="260" t="str">
        <f>IF(AND('Mapa final'!$H$14="Muy Baja",'Mapa final'!$L$14="Leve"),CONCATENATE("R",'Mapa final'!$A$14),"")</f>
        <v/>
      </c>
      <c r="M40" s="260"/>
      <c r="N40" s="260" t="str">
        <f ca="1">IF(AND('Mapa final'!$H$15="Muy Baja",'Mapa final'!$L$15="Leve"),CONCATENATE("R",'Mapa final'!$A$15),"")</f>
        <v/>
      </c>
      <c r="O40" s="261"/>
      <c r="P40" s="259" t="str">
        <f>IF(AND('Mapa final'!$H$13="Muy Baja",'Mapa final'!$L$13="Menor"),CONCATENATE("R",'Mapa final'!$A$13),"")</f>
        <v/>
      </c>
      <c r="Q40" s="260"/>
      <c r="R40" s="260" t="str">
        <f>IF(AND('Mapa final'!$H$14="Muy Baja",'Mapa final'!$L$14="Menor"),CONCATENATE("R",'Mapa final'!$A$14),"")</f>
        <v/>
      </c>
      <c r="S40" s="260"/>
      <c r="T40" s="260" t="str">
        <f ca="1">IF(AND('Mapa final'!$H$15="Muy Baja",'Mapa final'!$L$15="Menor"),CONCATENATE("R",'Mapa final'!$A$15),"")</f>
        <v/>
      </c>
      <c r="U40" s="261"/>
      <c r="V40" s="268" t="str">
        <f>IF(AND('Mapa final'!$H$13="Muy Baja",'Mapa final'!$L$13="Moderado"),CONCATENATE("R",'Mapa final'!$A$13),"")</f>
        <v/>
      </c>
      <c r="W40" s="269"/>
      <c r="X40" s="269" t="str">
        <f>IF(AND('Mapa final'!$H$14="Muy Baja",'Mapa final'!$L$14="Moderado"),CONCATENATE("R",'Mapa final'!$A$14),"")</f>
        <v/>
      </c>
      <c r="Y40" s="269"/>
      <c r="Z40" s="269" t="str">
        <f ca="1">IF(AND('Mapa final'!$H$15="Muy Baja",'Mapa final'!$L$15="Moderado"),CONCATENATE("R",'Mapa final'!$A$15),"")</f>
        <v/>
      </c>
      <c r="AA40" s="270"/>
      <c r="AB40" s="286" t="str">
        <f>IF(AND('Mapa final'!$H$13="Muy Baja",'Mapa final'!$L$13="Mayor"),CONCATENATE("R",'Mapa final'!$A$13),"")</f>
        <v/>
      </c>
      <c r="AC40" s="287"/>
      <c r="AD40" s="288" t="str">
        <f>IF(AND('Mapa final'!$H$14="Muy Baja",'Mapa final'!$L$14="Mayor"),CONCATENATE("R",'Mapa final'!$A$14),"")</f>
        <v>R5</v>
      </c>
      <c r="AE40" s="288"/>
      <c r="AF40" s="288" t="str">
        <f ca="1">IF(AND('Mapa final'!$H$15="Muy Baja",'Mapa final'!$L$15="Mayor"),CONCATENATE("R",'Mapa final'!$A$15),"")</f>
        <v/>
      </c>
      <c r="AG40" s="289"/>
      <c r="AH40" s="277" t="str">
        <f>IF(AND('Mapa final'!$H$13="Muy Baja",'Mapa final'!$L$13="Catastrófico"),CONCATENATE("R",'Mapa final'!$A$13),"")</f>
        <v/>
      </c>
      <c r="AI40" s="278"/>
      <c r="AJ40" s="278" t="str">
        <f>IF(AND('Mapa final'!$H$14="Muy Baja",'Mapa final'!$L$14="Catastrófico"),CONCATENATE("R",'Mapa final'!$A$14),"")</f>
        <v/>
      </c>
      <c r="AK40" s="278"/>
      <c r="AL40" s="278" t="str">
        <f ca="1">IF(AND('Mapa final'!$H$15="Muy Baja",'Mapa final'!$L$15="Catastrófico"),CONCATENATE("R",'Mapa final'!$A$15),"")</f>
        <v/>
      </c>
      <c r="AM40" s="27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308"/>
      <c r="C41" s="308"/>
      <c r="D41" s="309"/>
      <c r="E41" s="300"/>
      <c r="F41" s="301"/>
      <c r="G41" s="301"/>
      <c r="H41" s="301"/>
      <c r="I41" s="302"/>
      <c r="J41" s="259"/>
      <c r="K41" s="260"/>
      <c r="L41" s="260"/>
      <c r="M41" s="260"/>
      <c r="N41" s="260"/>
      <c r="O41" s="261"/>
      <c r="P41" s="259"/>
      <c r="Q41" s="260"/>
      <c r="R41" s="260"/>
      <c r="S41" s="260"/>
      <c r="T41" s="260"/>
      <c r="U41" s="261"/>
      <c r="V41" s="268"/>
      <c r="W41" s="269"/>
      <c r="X41" s="269"/>
      <c r="Y41" s="269"/>
      <c r="Z41" s="269"/>
      <c r="AA41" s="270"/>
      <c r="AB41" s="286"/>
      <c r="AC41" s="287"/>
      <c r="AD41" s="288"/>
      <c r="AE41" s="288"/>
      <c r="AF41" s="288"/>
      <c r="AG41" s="289"/>
      <c r="AH41" s="277"/>
      <c r="AI41" s="278"/>
      <c r="AJ41" s="278"/>
      <c r="AK41" s="278"/>
      <c r="AL41" s="278"/>
      <c r="AM41" s="27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308"/>
      <c r="C42" s="308"/>
      <c r="D42" s="309"/>
      <c r="E42" s="300"/>
      <c r="F42" s="301"/>
      <c r="G42" s="301"/>
      <c r="H42" s="301"/>
      <c r="I42" s="302"/>
      <c r="J42" s="259" t="str">
        <f ca="1">IF(AND('Mapa final'!$H$21="Muy Baja",'Mapa final'!$L$21="Leve"),CONCATENATE("R",'Mapa final'!$A$21),"")</f>
        <v/>
      </c>
      <c r="K42" s="260"/>
      <c r="L42" s="260" t="str">
        <f ca="1">IF(AND('Mapa final'!$H$27="Muy Baja",'Mapa final'!$L$27="Leve"),CONCATENATE("R",'Mapa final'!$A$27),"")</f>
        <v/>
      </c>
      <c r="M42" s="260"/>
      <c r="N42" s="260" t="str">
        <f ca="1">IF(AND('Mapa final'!$H$33="Muy Baja",'Mapa final'!$L$33="Leve"),CONCATENATE("R",'Mapa final'!$A$33),"")</f>
        <v/>
      </c>
      <c r="O42" s="261"/>
      <c r="P42" s="259" t="str">
        <f ca="1">IF(AND('Mapa final'!$H$21="Muy Baja",'Mapa final'!$L$21="Menor"),CONCATENATE("R",'Mapa final'!$A$21),"")</f>
        <v/>
      </c>
      <c r="Q42" s="260"/>
      <c r="R42" s="260" t="str">
        <f ca="1">IF(AND('Mapa final'!$H$27="Muy Baja",'Mapa final'!$L$27="Menor"),CONCATENATE("R",'Mapa final'!$A$27),"")</f>
        <v/>
      </c>
      <c r="S42" s="260"/>
      <c r="T42" s="260" t="str">
        <f ca="1">IF(AND('Mapa final'!$H$33="Muy Baja",'Mapa final'!$L$33="Menor"),CONCATENATE("R",'Mapa final'!$A$33),"")</f>
        <v/>
      </c>
      <c r="U42" s="261"/>
      <c r="V42" s="268" t="str">
        <f ca="1">IF(AND('Mapa final'!$H$21="Muy Baja",'Mapa final'!$L$21="Moderado"),CONCATENATE("R",'Mapa final'!$A$21),"")</f>
        <v/>
      </c>
      <c r="W42" s="269"/>
      <c r="X42" s="269" t="str">
        <f ca="1">IF(AND('Mapa final'!$H$27="Muy Baja",'Mapa final'!$L$27="Moderado"),CONCATENATE("R",'Mapa final'!$A$27),"")</f>
        <v/>
      </c>
      <c r="Y42" s="269"/>
      <c r="Z42" s="269" t="str">
        <f ca="1">IF(AND('Mapa final'!$H$33="Muy Baja",'Mapa final'!$L$33="Moderado"),CONCATENATE("R",'Mapa final'!$A$33),"")</f>
        <v/>
      </c>
      <c r="AA42" s="270"/>
      <c r="AB42" s="286" t="str">
        <f ca="1">IF(AND('Mapa final'!$H$21="Muy Baja",'Mapa final'!$L$21="Mayor"),CONCATENATE("R",'Mapa final'!$A$21),"")</f>
        <v/>
      </c>
      <c r="AC42" s="287"/>
      <c r="AD42" s="288" t="str">
        <f ca="1">IF(AND('Mapa final'!$H$27="Muy Baja",'Mapa final'!$L$27="Mayor"),CONCATENATE("R",'Mapa final'!$A$27),"")</f>
        <v/>
      </c>
      <c r="AE42" s="288"/>
      <c r="AF42" s="288" t="str">
        <f ca="1">IF(AND('Mapa final'!$H$33="Muy Baja",'Mapa final'!$L$33="Mayor"),CONCATENATE("R",'Mapa final'!$A$33),"")</f>
        <v/>
      </c>
      <c r="AG42" s="289"/>
      <c r="AH42" s="277" t="str">
        <f ca="1">IF(AND('Mapa final'!$H$21="Muy Baja",'Mapa final'!$L$21="Catastrófico"),CONCATENATE("R",'Mapa final'!$A$21),"")</f>
        <v/>
      </c>
      <c r="AI42" s="278"/>
      <c r="AJ42" s="278" t="str">
        <f ca="1">IF(AND('Mapa final'!$H$27="Muy Baja",'Mapa final'!$L$27="Catastrófico"),CONCATENATE("R",'Mapa final'!$A$27),"")</f>
        <v/>
      </c>
      <c r="AK42" s="278"/>
      <c r="AL42" s="278" t="str">
        <f ca="1">IF(AND('Mapa final'!$H$33="Muy Baja",'Mapa final'!$L$33="Catastrófico"),CONCATENATE("R",'Mapa final'!$A$33),"")</f>
        <v/>
      </c>
      <c r="AM42" s="27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308"/>
      <c r="C43" s="308"/>
      <c r="D43" s="309"/>
      <c r="E43" s="300"/>
      <c r="F43" s="301"/>
      <c r="G43" s="301"/>
      <c r="H43" s="301"/>
      <c r="I43" s="302"/>
      <c r="J43" s="259"/>
      <c r="K43" s="260"/>
      <c r="L43" s="260"/>
      <c r="M43" s="260"/>
      <c r="N43" s="260"/>
      <c r="O43" s="261"/>
      <c r="P43" s="259"/>
      <c r="Q43" s="260"/>
      <c r="R43" s="260"/>
      <c r="S43" s="260"/>
      <c r="T43" s="260"/>
      <c r="U43" s="261"/>
      <c r="V43" s="268"/>
      <c r="W43" s="269"/>
      <c r="X43" s="269"/>
      <c r="Y43" s="269"/>
      <c r="Z43" s="269"/>
      <c r="AA43" s="270"/>
      <c r="AB43" s="286"/>
      <c r="AC43" s="287"/>
      <c r="AD43" s="288"/>
      <c r="AE43" s="288"/>
      <c r="AF43" s="288"/>
      <c r="AG43" s="289"/>
      <c r="AH43" s="277"/>
      <c r="AI43" s="278"/>
      <c r="AJ43" s="278"/>
      <c r="AK43" s="278"/>
      <c r="AL43" s="278"/>
      <c r="AM43" s="27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308"/>
      <c r="C44" s="308"/>
      <c r="D44" s="309"/>
      <c r="E44" s="300"/>
      <c r="F44" s="301"/>
      <c r="G44" s="301"/>
      <c r="H44" s="301"/>
      <c r="I44" s="302"/>
      <c r="J44" s="259" t="str">
        <f ca="1">IF(AND('Mapa final'!$H$39="Muy Baja",'Mapa final'!$L$39="Leve"),CONCATENATE("R",'Mapa final'!$A$39),"")</f>
        <v/>
      </c>
      <c r="K44" s="260"/>
      <c r="L44" s="260" t="str">
        <f>IF(AND('Mapa final'!$H$45="Muy Baja",'Mapa final'!$L$45="Leve"),CONCATENATE("R",'Mapa final'!$A$45),"")</f>
        <v/>
      </c>
      <c r="M44" s="260"/>
      <c r="N44" s="260" t="str">
        <f>IF(AND('Mapa final'!$H$51="Muy Baja",'Mapa final'!$L$51="Leve"),CONCATENATE("R",'Mapa final'!$A$51),"")</f>
        <v/>
      </c>
      <c r="O44" s="261"/>
      <c r="P44" s="259" t="str">
        <f ca="1">IF(AND('Mapa final'!$H$39="Muy Baja",'Mapa final'!$L$39="Menor"),CONCATENATE("R",'Mapa final'!$A$39),"")</f>
        <v/>
      </c>
      <c r="Q44" s="260"/>
      <c r="R44" s="260" t="str">
        <f>IF(AND('Mapa final'!$H$45="Muy Baja",'Mapa final'!$L$45="Menor"),CONCATENATE("R",'Mapa final'!$A$45),"")</f>
        <v/>
      </c>
      <c r="S44" s="260"/>
      <c r="T44" s="260" t="str">
        <f>IF(AND('Mapa final'!$H$51="Muy Baja",'Mapa final'!$L$51="Menor"),CONCATENATE("R",'Mapa final'!$A$51),"")</f>
        <v/>
      </c>
      <c r="U44" s="261"/>
      <c r="V44" s="268" t="str">
        <f ca="1">IF(AND('Mapa final'!$H$39="Muy Baja",'Mapa final'!$L$39="Moderado"),CONCATENATE("R",'Mapa final'!$A$39),"")</f>
        <v/>
      </c>
      <c r="W44" s="269"/>
      <c r="X44" s="269" t="str">
        <f>IF(AND('Mapa final'!$H$45="Muy Baja",'Mapa final'!$L$45="Moderado"),CONCATENATE("R",'Mapa final'!$A$45),"")</f>
        <v/>
      </c>
      <c r="Y44" s="269"/>
      <c r="Z44" s="269" t="str">
        <f>IF(AND('Mapa final'!$H$51="Muy Baja",'Mapa final'!$L$51="Moderado"),CONCATENATE("R",'Mapa final'!$A$51),"")</f>
        <v/>
      </c>
      <c r="AA44" s="270"/>
      <c r="AB44" s="286" t="str">
        <f ca="1">IF(AND('Mapa final'!$H$39="Muy Baja",'Mapa final'!$L$39="Mayor"),CONCATENATE("R",'Mapa final'!$A$39),"")</f>
        <v/>
      </c>
      <c r="AC44" s="287"/>
      <c r="AD44" s="288" t="str">
        <f>IF(AND('Mapa final'!$H$45="Muy Baja",'Mapa final'!$L$45="Mayor"),CONCATENATE("R",'Mapa final'!$A$45),"")</f>
        <v/>
      </c>
      <c r="AE44" s="288"/>
      <c r="AF44" s="288" t="str">
        <f>IF(AND('Mapa final'!$H$51="Muy Baja",'Mapa final'!$L$51="Mayor"),CONCATENATE("R",'Mapa final'!$A$51),"")</f>
        <v/>
      </c>
      <c r="AG44" s="289"/>
      <c r="AH44" s="277" t="str">
        <f ca="1">IF(AND('Mapa final'!$H$39="Muy Baja",'Mapa final'!$L$39="Catastrófico"),CONCATENATE("R",'Mapa final'!$A$39),"")</f>
        <v/>
      </c>
      <c r="AI44" s="278"/>
      <c r="AJ44" s="278" t="str">
        <f>IF(AND('Mapa final'!$H$45="Muy Baja",'Mapa final'!$L$45="Catastrófico"),CONCATENATE("R",'Mapa final'!$A$45),"")</f>
        <v/>
      </c>
      <c r="AK44" s="278"/>
      <c r="AL44" s="278" t="str">
        <f>IF(AND('Mapa final'!$H$51="Muy Baja",'Mapa final'!$L$51="Catastrófico"),CONCATENATE("R",'Mapa final'!$A$51),"")</f>
        <v/>
      </c>
      <c r="AM44" s="27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308"/>
      <c r="C45" s="308"/>
      <c r="D45" s="309"/>
      <c r="E45" s="303"/>
      <c r="F45" s="304"/>
      <c r="G45" s="304"/>
      <c r="H45" s="304"/>
      <c r="I45" s="305"/>
      <c r="J45" s="262"/>
      <c r="K45" s="263"/>
      <c r="L45" s="263"/>
      <c r="M45" s="263"/>
      <c r="N45" s="263"/>
      <c r="O45" s="264"/>
      <c r="P45" s="262"/>
      <c r="Q45" s="263"/>
      <c r="R45" s="263"/>
      <c r="S45" s="263"/>
      <c r="T45" s="263"/>
      <c r="U45" s="264"/>
      <c r="V45" s="271"/>
      <c r="W45" s="272"/>
      <c r="X45" s="272"/>
      <c r="Y45" s="272"/>
      <c r="Z45" s="272"/>
      <c r="AA45" s="273"/>
      <c r="AB45" s="290"/>
      <c r="AC45" s="291"/>
      <c r="AD45" s="291"/>
      <c r="AE45" s="291"/>
      <c r="AF45" s="291"/>
      <c r="AG45" s="292"/>
      <c r="AH45" s="280"/>
      <c r="AI45" s="281"/>
      <c r="AJ45" s="281"/>
      <c r="AK45" s="281"/>
      <c r="AL45" s="281"/>
      <c r="AM45" s="28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297" t="s">
        <v>112</v>
      </c>
      <c r="K46" s="298"/>
      <c r="L46" s="298"/>
      <c r="M46" s="298"/>
      <c r="N46" s="298"/>
      <c r="O46" s="299"/>
      <c r="P46" s="297" t="s">
        <v>111</v>
      </c>
      <c r="Q46" s="298"/>
      <c r="R46" s="298"/>
      <c r="S46" s="298"/>
      <c r="T46" s="298"/>
      <c r="U46" s="299"/>
      <c r="V46" s="297" t="s">
        <v>110</v>
      </c>
      <c r="W46" s="298"/>
      <c r="X46" s="298"/>
      <c r="Y46" s="298"/>
      <c r="Z46" s="298"/>
      <c r="AA46" s="299"/>
      <c r="AB46" s="297" t="s">
        <v>109</v>
      </c>
      <c r="AC46" s="307"/>
      <c r="AD46" s="298"/>
      <c r="AE46" s="298"/>
      <c r="AF46" s="298"/>
      <c r="AG46" s="299"/>
      <c r="AH46" s="297" t="s">
        <v>108</v>
      </c>
      <c r="AI46" s="298"/>
      <c r="AJ46" s="298"/>
      <c r="AK46" s="298"/>
      <c r="AL46" s="298"/>
      <c r="AM46" s="29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300"/>
      <c r="K47" s="301"/>
      <c r="L47" s="301"/>
      <c r="M47" s="301"/>
      <c r="N47" s="301"/>
      <c r="O47" s="302"/>
      <c r="P47" s="300"/>
      <c r="Q47" s="301"/>
      <c r="R47" s="301"/>
      <c r="S47" s="301"/>
      <c r="T47" s="301"/>
      <c r="U47" s="302"/>
      <c r="V47" s="300"/>
      <c r="W47" s="301"/>
      <c r="X47" s="301"/>
      <c r="Y47" s="301"/>
      <c r="Z47" s="301"/>
      <c r="AA47" s="302"/>
      <c r="AB47" s="300"/>
      <c r="AC47" s="301"/>
      <c r="AD47" s="301"/>
      <c r="AE47" s="301"/>
      <c r="AF47" s="301"/>
      <c r="AG47" s="302"/>
      <c r="AH47" s="300"/>
      <c r="AI47" s="301"/>
      <c r="AJ47" s="301"/>
      <c r="AK47" s="301"/>
      <c r="AL47" s="301"/>
      <c r="AM47" s="30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300"/>
      <c r="K48" s="301"/>
      <c r="L48" s="301"/>
      <c r="M48" s="301"/>
      <c r="N48" s="301"/>
      <c r="O48" s="302"/>
      <c r="P48" s="300"/>
      <c r="Q48" s="301"/>
      <c r="R48" s="301"/>
      <c r="S48" s="301"/>
      <c r="T48" s="301"/>
      <c r="U48" s="302"/>
      <c r="V48" s="300"/>
      <c r="W48" s="301"/>
      <c r="X48" s="301"/>
      <c r="Y48" s="301"/>
      <c r="Z48" s="301"/>
      <c r="AA48" s="302"/>
      <c r="AB48" s="300"/>
      <c r="AC48" s="301"/>
      <c r="AD48" s="301"/>
      <c r="AE48" s="301"/>
      <c r="AF48" s="301"/>
      <c r="AG48" s="302"/>
      <c r="AH48" s="300"/>
      <c r="AI48" s="301"/>
      <c r="AJ48" s="301"/>
      <c r="AK48" s="301"/>
      <c r="AL48" s="301"/>
      <c r="AM48" s="30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300"/>
      <c r="K49" s="301"/>
      <c r="L49" s="301"/>
      <c r="M49" s="301"/>
      <c r="N49" s="301"/>
      <c r="O49" s="302"/>
      <c r="P49" s="300"/>
      <c r="Q49" s="301"/>
      <c r="R49" s="301"/>
      <c r="S49" s="301"/>
      <c r="T49" s="301"/>
      <c r="U49" s="302"/>
      <c r="V49" s="300"/>
      <c r="W49" s="301"/>
      <c r="X49" s="301"/>
      <c r="Y49" s="301"/>
      <c r="Z49" s="301"/>
      <c r="AA49" s="302"/>
      <c r="AB49" s="300"/>
      <c r="AC49" s="301"/>
      <c r="AD49" s="301"/>
      <c r="AE49" s="301"/>
      <c r="AF49" s="301"/>
      <c r="AG49" s="302"/>
      <c r="AH49" s="300"/>
      <c r="AI49" s="301"/>
      <c r="AJ49" s="301"/>
      <c r="AK49" s="301"/>
      <c r="AL49" s="301"/>
      <c r="AM49" s="30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300"/>
      <c r="K50" s="301"/>
      <c r="L50" s="301"/>
      <c r="M50" s="301"/>
      <c r="N50" s="301"/>
      <c r="O50" s="302"/>
      <c r="P50" s="300"/>
      <c r="Q50" s="301"/>
      <c r="R50" s="301"/>
      <c r="S50" s="301"/>
      <c r="T50" s="301"/>
      <c r="U50" s="302"/>
      <c r="V50" s="300"/>
      <c r="W50" s="301"/>
      <c r="X50" s="301"/>
      <c r="Y50" s="301"/>
      <c r="Z50" s="301"/>
      <c r="AA50" s="302"/>
      <c r="AB50" s="300"/>
      <c r="AC50" s="301"/>
      <c r="AD50" s="301"/>
      <c r="AE50" s="301"/>
      <c r="AF50" s="301"/>
      <c r="AG50" s="302"/>
      <c r="AH50" s="300"/>
      <c r="AI50" s="301"/>
      <c r="AJ50" s="301"/>
      <c r="AK50" s="301"/>
      <c r="AL50" s="301"/>
      <c r="AM50" s="30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303"/>
      <c r="K51" s="304"/>
      <c r="L51" s="304"/>
      <c r="M51" s="304"/>
      <c r="N51" s="304"/>
      <c r="O51" s="305"/>
      <c r="P51" s="303"/>
      <c r="Q51" s="304"/>
      <c r="R51" s="304"/>
      <c r="S51" s="304"/>
      <c r="T51" s="304"/>
      <c r="U51" s="305"/>
      <c r="V51" s="303"/>
      <c r="W51" s="304"/>
      <c r="X51" s="304"/>
      <c r="Y51" s="304"/>
      <c r="Z51" s="304"/>
      <c r="AA51" s="305"/>
      <c r="AB51" s="303"/>
      <c r="AC51" s="304"/>
      <c r="AD51" s="304"/>
      <c r="AE51" s="304"/>
      <c r="AF51" s="304"/>
      <c r="AG51" s="305"/>
      <c r="AH51" s="303"/>
      <c r="AI51" s="304"/>
      <c r="AJ51" s="304"/>
      <c r="AK51" s="304"/>
      <c r="AL51" s="304"/>
      <c r="AM51" s="30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76" t="s">
        <v>160</v>
      </c>
      <c r="C2" s="377"/>
      <c r="D2" s="377"/>
      <c r="E2" s="377"/>
      <c r="F2" s="377"/>
      <c r="G2" s="377"/>
      <c r="H2" s="377"/>
      <c r="I2" s="377"/>
      <c r="J2" s="296" t="s">
        <v>2</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77"/>
      <c r="C3" s="377"/>
      <c r="D3" s="377"/>
      <c r="E3" s="377"/>
      <c r="F3" s="377"/>
      <c r="G3" s="377"/>
      <c r="H3" s="377"/>
      <c r="I3" s="377"/>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77"/>
      <c r="C4" s="377"/>
      <c r="D4" s="377"/>
      <c r="E4" s="377"/>
      <c r="F4" s="377"/>
      <c r="G4" s="377"/>
      <c r="H4" s="377"/>
      <c r="I4" s="377"/>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308" t="s">
        <v>4</v>
      </c>
      <c r="C6" s="308"/>
      <c r="D6" s="309"/>
      <c r="E6" s="346" t="s">
        <v>116</v>
      </c>
      <c r="F6" s="347"/>
      <c r="G6" s="347"/>
      <c r="H6" s="347"/>
      <c r="I6" s="348"/>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67" t="s">
        <v>79</v>
      </c>
      <c r="AP6" s="368"/>
      <c r="AQ6" s="368"/>
      <c r="AR6" s="368"/>
      <c r="AS6" s="368"/>
      <c r="AT6" s="36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308"/>
      <c r="C7" s="308"/>
      <c r="D7" s="309"/>
      <c r="E7" s="349"/>
      <c r="F7" s="350"/>
      <c r="G7" s="350"/>
      <c r="H7" s="350"/>
      <c r="I7" s="351"/>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370"/>
      <c r="AP7" s="371"/>
      <c r="AQ7" s="371"/>
      <c r="AR7" s="371"/>
      <c r="AS7" s="371"/>
      <c r="AT7" s="37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308"/>
      <c r="C8" s="308"/>
      <c r="D8" s="309"/>
      <c r="E8" s="349"/>
      <c r="F8" s="350"/>
      <c r="G8" s="350"/>
      <c r="H8" s="350"/>
      <c r="I8" s="351"/>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370"/>
      <c r="AP8" s="371"/>
      <c r="AQ8" s="371"/>
      <c r="AR8" s="371"/>
      <c r="AS8" s="371"/>
      <c r="AT8" s="37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308"/>
      <c r="C9" s="308"/>
      <c r="D9" s="309"/>
      <c r="E9" s="349"/>
      <c r="F9" s="350"/>
      <c r="G9" s="350"/>
      <c r="H9" s="350"/>
      <c r="I9" s="351"/>
      <c r="J9" s="52" t="str">
        <f>IF(AND('Mapa final'!$Y$13="Muy Alta",'Mapa final'!$AA$13="Leve"),CONCATENATE("R4C",'Mapa final'!$O$13),"")</f>
        <v/>
      </c>
      <c r="K9" s="53" t="e">
        <f>IF(AND('Mapa final'!#REF!="Muy Alta",'Mapa final'!#REF!="Leve"),CONCATENATE("R4C",'Mapa final'!#REF!),"")</f>
        <v>#REF!</v>
      </c>
      <c r="L9" s="58" t="e">
        <f>IF(AND('Mapa final'!#REF!="Muy Alta",'Mapa final'!#REF!="Leve"),CONCATENATE("R4C",'Mapa final'!#REF!),"")</f>
        <v>#REF!</v>
      </c>
      <c r="M9" s="58" t="e">
        <f>IF(AND('Mapa final'!#REF!="Muy Alta",'Mapa final'!#REF!="Leve"),CONCATENATE("R4C",'Mapa final'!#REF!),"")</f>
        <v>#REF!</v>
      </c>
      <c r="N9" s="58"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8" t="e">
        <f>IF(AND('Mapa final'!#REF!="Muy Alta",'Mapa final'!#REF!="Menor"),CONCATENATE("R4C",'Mapa final'!#REF!),"")</f>
        <v>#REF!</v>
      </c>
      <c r="S9" s="58" t="e">
        <f>IF(AND('Mapa final'!#REF!="Muy Alta",'Mapa final'!#REF!="Menor"),CONCATENATE("R4C",'Mapa final'!#REF!),"")</f>
        <v>#REF!</v>
      </c>
      <c r="T9" s="58"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8" t="e">
        <f>IF(AND('Mapa final'!#REF!="Muy Alta",'Mapa final'!#REF!="Moderado"),CONCATENATE("R4C",'Mapa final'!#REF!),"")</f>
        <v>#REF!</v>
      </c>
      <c r="Y9" s="58" t="e">
        <f>IF(AND('Mapa final'!#REF!="Muy Alta",'Mapa final'!#REF!="Moderado"),CONCATENATE("R4C",'Mapa final'!#REF!),"")</f>
        <v>#REF!</v>
      </c>
      <c r="Z9" s="58"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8" t="e">
        <f>IF(AND('Mapa final'!#REF!="Muy Alta",'Mapa final'!#REF!="Mayor"),CONCATENATE("R4C",'Mapa final'!#REF!),"")</f>
        <v>#REF!</v>
      </c>
      <c r="AE9" s="58" t="e">
        <f>IF(AND('Mapa final'!#REF!="Muy Alta",'Mapa final'!#REF!="Mayor"),CONCATENATE("R4C",'Mapa final'!#REF!),"")</f>
        <v>#REF!</v>
      </c>
      <c r="AF9" s="58"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4"/>
      <c r="AO9" s="370"/>
      <c r="AP9" s="371"/>
      <c r="AQ9" s="371"/>
      <c r="AR9" s="371"/>
      <c r="AS9" s="371"/>
      <c r="AT9" s="37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308"/>
      <c r="C10" s="308"/>
      <c r="D10" s="309"/>
      <c r="E10" s="349"/>
      <c r="F10" s="350"/>
      <c r="G10" s="350"/>
      <c r="H10" s="350"/>
      <c r="I10" s="351"/>
      <c r="J10" s="52" t="str">
        <f>IF(AND('Mapa final'!$Y$14="Muy Alta",'Mapa final'!$AA$14="Leve"),CONCATENATE("R5C",'Mapa final'!$O$14),"")</f>
        <v/>
      </c>
      <c r="K10" s="53" t="e">
        <f>IF(AND('Mapa final'!#REF!="Muy Alta",'Mapa final'!#REF!="Leve"),CONCATENATE("R5C",'Mapa final'!#REF!),"")</f>
        <v>#REF!</v>
      </c>
      <c r="L10" s="58" t="e">
        <f>IF(AND('Mapa final'!#REF!="Muy Alta",'Mapa final'!#REF!="Leve"),CONCATENATE("R5C",'Mapa final'!#REF!),"")</f>
        <v>#REF!</v>
      </c>
      <c r="M10" s="58" t="e">
        <f>IF(AND('Mapa final'!#REF!="Muy Alta",'Mapa final'!#REF!="Leve"),CONCATENATE("R5C",'Mapa final'!#REF!),"")</f>
        <v>#REF!</v>
      </c>
      <c r="N10" s="58"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8" t="e">
        <f>IF(AND('Mapa final'!#REF!="Muy Alta",'Mapa final'!#REF!="Menor"),CONCATENATE("R5C",'Mapa final'!#REF!),"")</f>
        <v>#REF!</v>
      </c>
      <c r="S10" s="58" t="e">
        <f>IF(AND('Mapa final'!#REF!="Muy Alta",'Mapa final'!#REF!="Menor"),CONCATENATE("R5C",'Mapa final'!#REF!),"")</f>
        <v>#REF!</v>
      </c>
      <c r="T10" s="58"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8" t="e">
        <f>IF(AND('Mapa final'!#REF!="Muy Alta",'Mapa final'!#REF!="Moderado"),CONCATENATE("R5C",'Mapa final'!#REF!),"")</f>
        <v>#REF!</v>
      </c>
      <c r="Y10" s="58" t="e">
        <f>IF(AND('Mapa final'!#REF!="Muy Alta",'Mapa final'!#REF!="Moderado"),CONCATENATE("R5C",'Mapa final'!#REF!),"")</f>
        <v>#REF!</v>
      </c>
      <c r="Z10" s="58"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8" t="e">
        <f>IF(AND('Mapa final'!#REF!="Muy Alta",'Mapa final'!#REF!="Mayor"),CONCATENATE("R5C",'Mapa final'!#REF!),"")</f>
        <v>#REF!</v>
      </c>
      <c r="AE10" s="58" t="e">
        <f>IF(AND('Mapa final'!#REF!="Muy Alta",'Mapa final'!#REF!="Mayor"),CONCATENATE("R5C",'Mapa final'!#REF!),"")</f>
        <v>#REF!</v>
      </c>
      <c r="AF10" s="58"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4"/>
      <c r="AO10" s="370"/>
      <c r="AP10" s="371"/>
      <c r="AQ10" s="371"/>
      <c r="AR10" s="371"/>
      <c r="AS10" s="371"/>
      <c r="AT10" s="37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308"/>
      <c r="C11" s="308"/>
      <c r="D11" s="309"/>
      <c r="E11" s="349"/>
      <c r="F11" s="350"/>
      <c r="G11" s="350"/>
      <c r="H11" s="350"/>
      <c r="I11" s="351"/>
      <c r="J11" s="52" t="str">
        <f>IF(AND('Mapa final'!$Y$15="Muy Alta",'Mapa final'!$AA$15="Leve"),CONCATENATE("R6C",'Mapa final'!$O$15),"")</f>
        <v/>
      </c>
      <c r="K11" s="53" t="str">
        <f>IF(AND('Mapa final'!$Y$16="Muy Alta",'Mapa final'!$AA$16="Leve"),CONCATENATE("R6C",'Mapa final'!$O$16),"")</f>
        <v/>
      </c>
      <c r="L11" s="58" t="str">
        <f>IF(AND('Mapa final'!$Y$17="Muy Alta",'Mapa final'!$AA$17="Leve"),CONCATENATE("R6C",'Mapa final'!$O$17),"")</f>
        <v/>
      </c>
      <c r="M11" s="58" t="str">
        <f>IF(AND('Mapa final'!$Y$18="Muy Alta",'Mapa final'!$AA$18="Leve"),CONCATENATE("R6C",'Mapa final'!$O$18),"")</f>
        <v/>
      </c>
      <c r="N11" s="58" t="str">
        <f>IF(AND('Mapa final'!$Y$19="Muy Alta",'Mapa final'!$AA$19="Leve"),CONCATENATE("R6C",'Mapa final'!$O$19),"")</f>
        <v/>
      </c>
      <c r="O11" s="54" t="str">
        <f>IF(AND('Mapa final'!$Y$20="Muy Alta",'Mapa final'!$AA$20="Leve"),CONCATENATE("R6C",'Mapa final'!$O$20),"")</f>
        <v/>
      </c>
      <c r="P11" s="52" t="str">
        <f>IF(AND('Mapa final'!$Y$15="Muy Alta",'Mapa final'!$AA$15="Menor"),CONCATENATE("R6C",'Mapa final'!$O$15),"")</f>
        <v/>
      </c>
      <c r="Q11" s="53" t="str">
        <f>IF(AND('Mapa final'!$Y$16="Muy Alta",'Mapa final'!$AA$16="Menor"),CONCATENATE("R6C",'Mapa final'!$O$16),"")</f>
        <v/>
      </c>
      <c r="R11" s="58" t="str">
        <f>IF(AND('Mapa final'!$Y$17="Muy Alta",'Mapa final'!$AA$17="Menor"),CONCATENATE("R6C",'Mapa final'!$O$17),"")</f>
        <v/>
      </c>
      <c r="S11" s="58" t="str">
        <f>IF(AND('Mapa final'!$Y$18="Muy Alta",'Mapa final'!$AA$18="Menor"),CONCATENATE("R6C",'Mapa final'!$O$18),"")</f>
        <v/>
      </c>
      <c r="T11" s="58" t="str">
        <f>IF(AND('Mapa final'!$Y$19="Muy Alta",'Mapa final'!$AA$19="Menor"),CONCATENATE("R6C",'Mapa final'!$O$19),"")</f>
        <v/>
      </c>
      <c r="U11" s="54" t="str">
        <f>IF(AND('Mapa final'!$Y$20="Muy Alta",'Mapa final'!$AA$20="Menor"),CONCATENATE("R6C",'Mapa final'!$O$20),"")</f>
        <v/>
      </c>
      <c r="V11" s="52" t="str">
        <f>IF(AND('Mapa final'!$Y$15="Muy Alta",'Mapa final'!$AA$15="Moderado"),CONCATENATE("R6C",'Mapa final'!$O$15),"")</f>
        <v/>
      </c>
      <c r="W11" s="53" t="str">
        <f>IF(AND('Mapa final'!$Y$16="Muy Alta",'Mapa final'!$AA$16="Moderado"),CONCATENATE("R6C",'Mapa final'!$O$16),"")</f>
        <v/>
      </c>
      <c r="X11" s="58" t="str">
        <f>IF(AND('Mapa final'!$Y$17="Muy Alta",'Mapa final'!$AA$17="Moderado"),CONCATENATE("R6C",'Mapa final'!$O$17),"")</f>
        <v/>
      </c>
      <c r="Y11" s="58" t="str">
        <f>IF(AND('Mapa final'!$Y$18="Muy Alta",'Mapa final'!$AA$18="Moderado"),CONCATENATE("R6C",'Mapa final'!$O$18),"")</f>
        <v/>
      </c>
      <c r="Z11" s="58" t="str">
        <f>IF(AND('Mapa final'!$Y$19="Muy Alta",'Mapa final'!$AA$19="Moderado"),CONCATENATE("R6C",'Mapa final'!$O$19),"")</f>
        <v/>
      </c>
      <c r="AA11" s="54" t="str">
        <f>IF(AND('Mapa final'!$Y$20="Muy Alta",'Mapa final'!$AA$20="Moderado"),CONCATENATE("R6C",'Mapa final'!$O$20),"")</f>
        <v/>
      </c>
      <c r="AB11" s="52" t="str">
        <f>IF(AND('Mapa final'!$Y$15="Muy Alta",'Mapa final'!$AA$15="Mayor"),CONCATENATE("R6C",'Mapa final'!$O$15),"")</f>
        <v/>
      </c>
      <c r="AC11" s="53" t="str">
        <f>IF(AND('Mapa final'!$Y$16="Muy Alta",'Mapa final'!$AA$16="Mayor"),CONCATENATE("R6C",'Mapa final'!$O$16),"")</f>
        <v/>
      </c>
      <c r="AD11" s="58" t="str">
        <f>IF(AND('Mapa final'!$Y$17="Muy Alta",'Mapa final'!$AA$17="Mayor"),CONCATENATE("R6C",'Mapa final'!$O$17),"")</f>
        <v/>
      </c>
      <c r="AE11" s="58" t="str">
        <f>IF(AND('Mapa final'!$Y$18="Muy Alta",'Mapa final'!$AA$18="Mayor"),CONCATENATE("R6C",'Mapa final'!$O$18),"")</f>
        <v/>
      </c>
      <c r="AF11" s="58" t="str">
        <f>IF(AND('Mapa final'!$Y$19="Muy Alta",'Mapa final'!$AA$19="Mayor"),CONCATENATE("R6C",'Mapa final'!$O$19),"")</f>
        <v/>
      </c>
      <c r="AG11" s="54" t="str">
        <f>IF(AND('Mapa final'!$Y$20="Muy Alta",'Mapa final'!$AA$20="Mayor"),CONCATENATE("R6C",'Mapa final'!$O$20),"")</f>
        <v/>
      </c>
      <c r="AH11" s="55" t="str">
        <f>IF(AND('Mapa final'!$Y$15="Muy Alta",'Mapa final'!$AA$15="Catastrófico"),CONCATENATE("R6C",'Mapa final'!$O$15),"")</f>
        <v/>
      </c>
      <c r="AI11" s="56" t="str">
        <f>IF(AND('Mapa final'!$Y$16="Muy Alta",'Mapa final'!$AA$16="Catastrófico"),CONCATENATE("R6C",'Mapa final'!$O$16),"")</f>
        <v/>
      </c>
      <c r="AJ11" s="56" t="str">
        <f>IF(AND('Mapa final'!$Y$17="Muy Alta",'Mapa final'!$AA$17="Catastrófico"),CONCATENATE("R6C",'Mapa final'!$O$17),"")</f>
        <v/>
      </c>
      <c r="AK11" s="56" t="str">
        <f>IF(AND('Mapa final'!$Y$18="Muy Alta",'Mapa final'!$AA$18="Catastrófico"),CONCATENATE("R6C",'Mapa final'!$O$18),"")</f>
        <v/>
      </c>
      <c r="AL11" s="56" t="str">
        <f>IF(AND('Mapa final'!$Y$19="Muy Alta",'Mapa final'!$AA$19="Catastrófico"),CONCATENATE("R6C",'Mapa final'!$O$19),"")</f>
        <v/>
      </c>
      <c r="AM11" s="57" t="str">
        <f>IF(AND('Mapa final'!$Y$20="Muy Alta",'Mapa final'!$AA$20="Catastrófico"),CONCATENATE("R6C",'Mapa final'!$O$20),"")</f>
        <v/>
      </c>
      <c r="AN11" s="84"/>
      <c r="AO11" s="370"/>
      <c r="AP11" s="371"/>
      <c r="AQ11" s="371"/>
      <c r="AR11" s="371"/>
      <c r="AS11" s="371"/>
      <c r="AT11" s="37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308"/>
      <c r="C12" s="308"/>
      <c r="D12" s="309"/>
      <c r="E12" s="349"/>
      <c r="F12" s="350"/>
      <c r="G12" s="350"/>
      <c r="H12" s="350"/>
      <c r="I12" s="351"/>
      <c r="J12" s="52" t="str">
        <f>IF(AND('Mapa final'!$Y$21="Muy Alta",'Mapa final'!$AA$21="Leve"),CONCATENATE("R7C",'Mapa final'!$O$21),"")</f>
        <v/>
      </c>
      <c r="K12" s="53" t="str">
        <f>IF(AND('Mapa final'!$Y$22="Muy Alta",'Mapa final'!$AA$22="Leve"),CONCATENATE("R7C",'Mapa final'!$O$22),"")</f>
        <v/>
      </c>
      <c r="L12" s="58" t="str">
        <f>IF(AND('Mapa final'!$Y$23="Muy Alta",'Mapa final'!$AA$23="Leve"),CONCATENATE("R7C",'Mapa final'!$O$23),"")</f>
        <v/>
      </c>
      <c r="M12" s="58" t="str">
        <f>IF(AND('Mapa final'!$Y$24="Muy Alta",'Mapa final'!$AA$24="Leve"),CONCATENATE("R7C",'Mapa final'!$O$24),"")</f>
        <v/>
      </c>
      <c r="N12" s="58" t="str">
        <f>IF(AND('Mapa final'!$Y$25="Muy Alta",'Mapa final'!$AA$25="Leve"),CONCATENATE("R7C",'Mapa final'!$O$25),"")</f>
        <v/>
      </c>
      <c r="O12" s="54" t="str">
        <f>IF(AND('Mapa final'!$Y$26="Muy Alta",'Mapa final'!$AA$26="Leve"),CONCATENATE("R7C",'Mapa final'!$O$26),"")</f>
        <v/>
      </c>
      <c r="P12" s="52" t="str">
        <f>IF(AND('Mapa final'!$Y$21="Muy Alta",'Mapa final'!$AA$21="Menor"),CONCATENATE("R7C",'Mapa final'!$O$21),"")</f>
        <v/>
      </c>
      <c r="Q12" s="53" t="str">
        <f>IF(AND('Mapa final'!$Y$22="Muy Alta",'Mapa final'!$AA$22="Menor"),CONCATENATE("R7C",'Mapa final'!$O$22),"")</f>
        <v/>
      </c>
      <c r="R12" s="58" t="str">
        <f>IF(AND('Mapa final'!$Y$23="Muy Alta",'Mapa final'!$AA$23="Menor"),CONCATENATE("R7C",'Mapa final'!$O$23),"")</f>
        <v/>
      </c>
      <c r="S12" s="58" t="str">
        <f>IF(AND('Mapa final'!$Y$24="Muy Alta",'Mapa final'!$AA$24="Menor"),CONCATENATE("R7C",'Mapa final'!$O$24),"")</f>
        <v/>
      </c>
      <c r="T12" s="58" t="str">
        <f>IF(AND('Mapa final'!$Y$25="Muy Alta",'Mapa final'!$AA$25="Menor"),CONCATENATE("R7C",'Mapa final'!$O$25),"")</f>
        <v/>
      </c>
      <c r="U12" s="54" t="str">
        <f>IF(AND('Mapa final'!$Y$26="Muy Alta",'Mapa final'!$AA$26="Menor"),CONCATENATE("R7C",'Mapa final'!$O$26),"")</f>
        <v/>
      </c>
      <c r="V12" s="52" t="str">
        <f>IF(AND('Mapa final'!$Y$21="Muy Alta",'Mapa final'!$AA$21="Moderado"),CONCATENATE("R7C",'Mapa final'!$O$21),"")</f>
        <v/>
      </c>
      <c r="W12" s="53" t="str">
        <f>IF(AND('Mapa final'!$Y$22="Muy Alta",'Mapa final'!$AA$22="Moderado"),CONCATENATE("R7C",'Mapa final'!$O$22),"")</f>
        <v/>
      </c>
      <c r="X12" s="58" t="str">
        <f>IF(AND('Mapa final'!$Y$23="Muy Alta",'Mapa final'!$AA$23="Moderado"),CONCATENATE("R7C",'Mapa final'!$O$23),"")</f>
        <v/>
      </c>
      <c r="Y12" s="58" t="str">
        <f>IF(AND('Mapa final'!$Y$24="Muy Alta",'Mapa final'!$AA$24="Moderado"),CONCATENATE("R7C",'Mapa final'!$O$24),"")</f>
        <v/>
      </c>
      <c r="Z12" s="58" t="str">
        <f>IF(AND('Mapa final'!$Y$25="Muy Alta",'Mapa final'!$AA$25="Moderado"),CONCATENATE("R7C",'Mapa final'!$O$25),"")</f>
        <v/>
      </c>
      <c r="AA12" s="54" t="str">
        <f>IF(AND('Mapa final'!$Y$26="Muy Alta",'Mapa final'!$AA$26="Moderado"),CONCATENATE("R7C",'Mapa final'!$O$26),"")</f>
        <v/>
      </c>
      <c r="AB12" s="52" t="str">
        <f>IF(AND('Mapa final'!$Y$21="Muy Alta",'Mapa final'!$AA$21="Mayor"),CONCATENATE("R7C",'Mapa final'!$O$21),"")</f>
        <v/>
      </c>
      <c r="AC12" s="53" t="str">
        <f>IF(AND('Mapa final'!$Y$22="Muy Alta",'Mapa final'!$AA$22="Mayor"),CONCATENATE("R7C",'Mapa final'!$O$22),"")</f>
        <v/>
      </c>
      <c r="AD12" s="58" t="str">
        <f>IF(AND('Mapa final'!$Y$23="Muy Alta",'Mapa final'!$AA$23="Mayor"),CONCATENATE("R7C",'Mapa final'!$O$23),"")</f>
        <v/>
      </c>
      <c r="AE12" s="58" t="str">
        <f>IF(AND('Mapa final'!$Y$24="Muy Alta",'Mapa final'!$AA$24="Mayor"),CONCATENATE("R7C",'Mapa final'!$O$24),"")</f>
        <v/>
      </c>
      <c r="AF12" s="58" t="str">
        <f>IF(AND('Mapa final'!$Y$25="Muy Alta",'Mapa final'!$AA$25="Mayor"),CONCATENATE("R7C",'Mapa final'!$O$25),"")</f>
        <v/>
      </c>
      <c r="AG12" s="54" t="str">
        <f>IF(AND('Mapa final'!$Y$26="Muy Alta",'Mapa final'!$AA$26="Mayor"),CONCATENATE("R7C",'Mapa final'!$O$26),"")</f>
        <v/>
      </c>
      <c r="AH12" s="55" t="str">
        <f>IF(AND('Mapa final'!$Y$21="Muy Alta",'Mapa final'!$AA$21="Catastrófico"),CONCATENATE("R7C",'Mapa final'!$O$21),"")</f>
        <v/>
      </c>
      <c r="AI12" s="56" t="str">
        <f>IF(AND('Mapa final'!$Y$22="Muy Alta",'Mapa final'!$AA$22="Catastrófico"),CONCATENATE("R7C",'Mapa final'!$O$22),"")</f>
        <v/>
      </c>
      <c r="AJ12" s="56" t="str">
        <f>IF(AND('Mapa final'!$Y$23="Muy Alta",'Mapa final'!$AA$23="Catastrófico"),CONCATENATE("R7C",'Mapa final'!$O$23),"")</f>
        <v/>
      </c>
      <c r="AK12" s="56" t="str">
        <f>IF(AND('Mapa final'!$Y$24="Muy Alta",'Mapa final'!$AA$24="Catastrófico"),CONCATENATE("R7C",'Mapa final'!$O$24),"")</f>
        <v/>
      </c>
      <c r="AL12" s="56" t="str">
        <f>IF(AND('Mapa final'!$Y$25="Muy Alta",'Mapa final'!$AA$25="Catastrófico"),CONCATENATE("R7C",'Mapa final'!$O$25),"")</f>
        <v/>
      </c>
      <c r="AM12" s="57" t="str">
        <f>IF(AND('Mapa final'!$Y$26="Muy Alta",'Mapa final'!$AA$26="Catastrófico"),CONCATENATE("R7C",'Mapa final'!$O$26),"")</f>
        <v/>
      </c>
      <c r="AN12" s="84"/>
      <c r="AO12" s="370"/>
      <c r="AP12" s="371"/>
      <c r="AQ12" s="371"/>
      <c r="AR12" s="371"/>
      <c r="AS12" s="371"/>
      <c r="AT12" s="37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308"/>
      <c r="C13" s="308"/>
      <c r="D13" s="309"/>
      <c r="E13" s="349"/>
      <c r="F13" s="350"/>
      <c r="G13" s="350"/>
      <c r="H13" s="350"/>
      <c r="I13" s="351"/>
      <c r="J13" s="52" t="str">
        <f>IF(AND('Mapa final'!$Y$27="Muy Alta",'Mapa final'!$AA$27="Leve"),CONCATENATE("R8C",'Mapa final'!$O$27),"")</f>
        <v/>
      </c>
      <c r="K13" s="53" t="str">
        <f>IF(AND('Mapa final'!$Y$28="Muy Alta",'Mapa final'!$AA$28="Leve"),CONCATENATE("R8C",'Mapa final'!$O$28),"")</f>
        <v/>
      </c>
      <c r="L13" s="58" t="str">
        <f>IF(AND('Mapa final'!$Y$29="Muy Alta",'Mapa final'!$AA$29="Leve"),CONCATENATE("R8C",'Mapa final'!$O$29),"")</f>
        <v/>
      </c>
      <c r="M13" s="58" t="str">
        <f>IF(AND('Mapa final'!$Y$30="Muy Alta",'Mapa final'!$AA$30="Leve"),CONCATENATE("R8C",'Mapa final'!$O$30),"")</f>
        <v/>
      </c>
      <c r="N13" s="58" t="str">
        <f>IF(AND('Mapa final'!$Y$31="Muy Alta",'Mapa final'!$AA$31="Leve"),CONCATENATE("R8C",'Mapa final'!$O$31),"")</f>
        <v/>
      </c>
      <c r="O13" s="54" t="str">
        <f>IF(AND('Mapa final'!$Y$32="Muy Alta",'Mapa final'!$AA$32="Leve"),CONCATENATE("R8C",'Mapa final'!$O$32),"")</f>
        <v/>
      </c>
      <c r="P13" s="52" t="str">
        <f>IF(AND('Mapa final'!$Y$27="Muy Alta",'Mapa final'!$AA$27="Menor"),CONCATENATE("R8C",'Mapa final'!$O$27),"")</f>
        <v/>
      </c>
      <c r="Q13" s="53" t="str">
        <f>IF(AND('Mapa final'!$Y$28="Muy Alta",'Mapa final'!$AA$28="Menor"),CONCATENATE("R8C",'Mapa final'!$O$28),"")</f>
        <v/>
      </c>
      <c r="R13" s="58" t="str">
        <f>IF(AND('Mapa final'!$Y$29="Muy Alta",'Mapa final'!$AA$29="Menor"),CONCATENATE("R8C",'Mapa final'!$O$29),"")</f>
        <v/>
      </c>
      <c r="S13" s="58" t="str">
        <f>IF(AND('Mapa final'!$Y$30="Muy Alta",'Mapa final'!$AA$30="Menor"),CONCATENATE("R8C",'Mapa final'!$O$30),"")</f>
        <v/>
      </c>
      <c r="T13" s="58" t="str">
        <f>IF(AND('Mapa final'!$Y$31="Muy Alta",'Mapa final'!$AA$31="Menor"),CONCATENATE("R8C",'Mapa final'!$O$31),"")</f>
        <v/>
      </c>
      <c r="U13" s="54" t="str">
        <f>IF(AND('Mapa final'!$Y$32="Muy Alta",'Mapa final'!$AA$32="Menor"),CONCATENATE("R8C",'Mapa final'!$O$32),"")</f>
        <v/>
      </c>
      <c r="V13" s="52" t="str">
        <f>IF(AND('Mapa final'!$Y$27="Muy Alta",'Mapa final'!$AA$27="Moderado"),CONCATENATE("R8C",'Mapa final'!$O$27),"")</f>
        <v/>
      </c>
      <c r="W13" s="53" t="str">
        <f>IF(AND('Mapa final'!$Y$28="Muy Alta",'Mapa final'!$AA$28="Moderado"),CONCATENATE("R8C",'Mapa final'!$O$28),"")</f>
        <v/>
      </c>
      <c r="X13" s="58" t="str">
        <f>IF(AND('Mapa final'!$Y$29="Muy Alta",'Mapa final'!$AA$29="Moderado"),CONCATENATE("R8C",'Mapa final'!$O$29),"")</f>
        <v/>
      </c>
      <c r="Y13" s="58" t="str">
        <f>IF(AND('Mapa final'!$Y$30="Muy Alta",'Mapa final'!$AA$30="Moderado"),CONCATENATE("R8C",'Mapa final'!$O$30),"")</f>
        <v/>
      </c>
      <c r="Z13" s="58" t="str">
        <f>IF(AND('Mapa final'!$Y$31="Muy Alta",'Mapa final'!$AA$31="Moderado"),CONCATENATE("R8C",'Mapa final'!$O$31),"")</f>
        <v/>
      </c>
      <c r="AA13" s="54" t="str">
        <f>IF(AND('Mapa final'!$Y$32="Muy Alta",'Mapa final'!$AA$32="Moderado"),CONCATENATE("R8C",'Mapa final'!$O$32),"")</f>
        <v/>
      </c>
      <c r="AB13" s="52" t="str">
        <f>IF(AND('Mapa final'!$Y$27="Muy Alta",'Mapa final'!$AA$27="Mayor"),CONCATENATE("R8C",'Mapa final'!$O$27),"")</f>
        <v/>
      </c>
      <c r="AC13" s="53" t="str">
        <f>IF(AND('Mapa final'!$Y$28="Muy Alta",'Mapa final'!$AA$28="Mayor"),CONCATENATE("R8C",'Mapa final'!$O$28),"")</f>
        <v/>
      </c>
      <c r="AD13" s="58" t="str">
        <f>IF(AND('Mapa final'!$Y$29="Muy Alta",'Mapa final'!$AA$29="Mayor"),CONCATENATE("R8C",'Mapa final'!$O$29),"")</f>
        <v/>
      </c>
      <c r="AE13" s="58" t="str">
        <f>IF(AND('Mapa final'!$Y$30="Muy Alta",'Mapa final'!$AA$30="Mayor"),CONCATENATE("R8C",'Mapa final'!$O$30),"")</f>
        <v/>
      </c>
      <c r="AF13" s="58" t="str">
        <f>IF(AND('Mapa final'!$Y$31="Muy Alta",'Mapa final'!$AA$31="Mayor"),CONCATENATE("R8C",'Mapa final'!$O$31),"")</f>
        <v/>
      </c>
      <c r="AG13" s="54" t="str">
        <f>IF(AND('Mapa final'!$Y$32="Muy Alta",'Mapa final'!$AA$32="Mayor"),CONCATENATE("R8C",'Mapa final'!$O$32),"")</f>
        <v/>
      </c>
      <c r="AH13" s="55" t="str">
        <f>IF(AND('Mapa final'!$Y$27="Muy Alta",'Mapa final'!$AA$27="Catastrófico"),CONCATENATE("R8C",'Mapa final'!$O$27),"")</f>
        <v/>
      </c>
      <c r="AI13" s="56" t="str">
        <f>IF(AND('Mapa final'!$Y$28="Muy Alta",'Mapa final'!$AA$28="Catastrófico"),CONCATENATE("R8C",'Mapa final'!$O$28),"")</f>
        <v/>
      </c>
      <c r="AJ13" s="56" t="str">
        <f>IF(AND('Mapa final'!$Y$29="Muy Alta",'Mapa final'!$AA$29="Catastrófico"),CONCATENATE("R8C",'Mapa final'!$O$29),"")</f>
        <v/>
      </c>
      <c r="AK13" s="56" t="str">
        <f>IF(AND('Mapa final'!$Y$30="Muy Alta",'Mapa final'!$AA$30="Catastrófico"),CONCATENATE("R8C",'Mapa final'!$O$30),"")</f>
        <v/>
      </c>
      <c r="AL13" s="56" t="str">
        <f>IF(AND('Mapa final'!$Y$31="Muy Alta",'Mapa final'!$AA$31="Catastrófico"),CONCATENATE("R8C",'Mapa final'!$O$31),"")</f>
        <v/>
      </c>
      <c r="AM13" s="57" t="str">
        <f>IF(AND('Mapa final'!$Y$32="Muy Alta",'Mapa final'!$AA$32="Catastrófico"),CONCATENATE("R8C",'Mapa final'!$O$32),"")</f>
        <v/>
      </c>
      <c r="AN13" s="84"/>
      <c r="AO13" s="370"/>
      <c r="AP13" s="371"/>
      <c r="AQ13" s="371"/>
      <c r="AR13" s="371"/>
      <c r="AS13" s="371"/>
      <c r="AT13" s="37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308"/>
      <c r="C14" s="308"/>
      <c r="D14" s="309"/>
      <c r="E14" s="349"/>
      <c r="F14" s="350"/>
      <c r="G14" s="350"/>
      <c r="H14" s="350"/>
      <c r="I14" s="351"/>
      <c r="J14" s="52" t="str">
        <f>IF(AND('Mapa final'!$Y$33="Muy Alta",'Mapa final'!$AA$33="Leve"),CONCATENATE("R9C",'Mapa final'!$O$33),"")</f>
        <v/>
      </c>
      <c r="K14" s="53" t="str">
        <f>IF(AND('Mapa final'!$Y$34="Muy Alta",'Mapa final'!$AA$34="Leve"),CONCATENATE("R9C",'Mapa final'!$O$34),"")</f>
        <v/>
      </c>
      <c r="L14" s="58" t="str">
        <f>IF(AND('Mapa final'!$Y$35="Muy Alta",'Mapa final'!$AA$35="Leve"),CONCATENATE("R9C",'Mapa final'!$O$35),"")</f>
        <v/>
      </c>
      <c r="M14" s="58" t="str">
        <f>IF(AND('Mapa final'!$Y$36="Muy Alta",'Mapa final'!$AA$36="Leve"),CONCATENATE("R9C",'Mapa final'!$O$36),"")</f>
        <v/>
      </c>
      <c r="N14" s="58" t="str">
        <f>IF(AND('Mapa final'!$Y$37="Muy Alta",'Mapa final'!$AA$37="Leve"),CONCATENATE("R9C",'Mapa final'!$O$37),"")</f>
        <v/>
      </c>
      <c r="O14" s="54" t="str">
        <f>IF(AND('Mapa final'!$Y$38="Muy Alta",'Mapa final'!$AA$38="Leve"),CONCATENATE("R9C",'Mapa final'!$O$38),"")</f>
        <v/>
      </c>
      <c r="P14" s="52" t="str">
        <f>IF(AND('Mapa final'!$Y$33="Muy Alta",'Mapa final'!$AA$33="Menor"),CONCATENATE("R9C",'Mapa final'!$O$33),"")</f>
        <v/>
      </c>
      <c r="Q14" s="53" t="str">
        <f>IF(AND('Mapa final'!$Y$34="Muy Alta",'Mapa final'!$AA$34="Menor"),CONCATENATE("R9C",'Mapa final'!$O$34),"")</f>
        <v/>
      </c>
      <c r="R14" s="58" t="str">
        <f>IF(AND('Mapa final'!$Y$35="Muy Alta",'Mapa final'!$AA$35="Menor"),CONCATENATE("R9C",'Mapa final'!$O$35),"")</f>
        <v/>
      </c>
      <c r="S14" s="58" t="str">
        <f>IF(AND('Mapa final'!$Y$36="Muy Alta",'Mapa final'!$AA$36="Menor"),CONCATENATE("R9C",'Mapa final'!$O$36),"")</f>
        <v/>
      </c>
      <c r="T14" s="58" t="str">
        <f>IF(AND('Mapa final'!$Y$37="Muy Alta",'Mapa final'!$AA$37="Menor"),CONCATENATE("R9C",'Mapa final'!$O$37),"")</f>
        <v/>
      </c>
      <c r="U14" s="54" t="str">
        <f>IF(AND('Mapa final'!$Y$38="Muy Alta",'Mapa final'!$AA$38="Menor"),CONCATENATE("R9C",'Mapa final'!$O$38),"")</f>
        <v/>
      </c>
      <c r="V14" s="52" t="str">
        <f>IF(AND('Mapa final'!$Y$33="Muy Alta",'Mapa final'!$AA$33="Moderado"),CONCATENATE("R9C",'Mapa final'!$O$33),"")</f>
        <v/>
      </c>
      <c r="W14" s="53" t="str">
        <f>IF(AND('Mapa final'!$Y$34="Muy Alta",'Mapa final'!$AA$34="Moderado"),CONCATENATE("R9C",'Mapa final'!$O$34),"")</f>
        <v/>
      </c>
      <c r="X14" s="58" t="str">
        <f>IF(AND('Mapa final'!$Y$35="Muy Alta",'Mapa final'!$AA$35="Moderado"),CONCATENATE("R9C",'Mapa final'!$O$35),"")</f>
        <v/>
      </c>
      <c r="Y14" s="58" t="str">
        <f>IF(AND('Mapa final'!$Y$36="Muy Alta",'Mapa final'!$AA$36="Moderado"),CONCATENATE("R9C",'Mapa final'!$O$36),"")</f>
        <v/>
      </c>
      <c r="Z14" s="58" t="str">
        <f>IF(AND('Mapa final'!$Y$37="Muy Alta",'Mapa final'!$AA$37="Moderado"),CONCATENATE("R9C",'Mapa final'!$O$37),"")</f>
        <v/>
      </c>
      <c r="AA14" s="54" t="str">
        <f>IF(AND('Mapa final'!$Y$38="Muy Alta",'Mapa final'!$AA$38="Moderado"),CONCATENATE("R9C",'Mapa final'!$O$38),"")</f>
        <v/>
      </c>
      <c r="AB14" s="52" t="str">
        <f>IF(AND('Mapa final'!$Y$33="Muy Alta",'Mapa final'!$AA$33="Mayor"),CONCATENATE("R9C",'Mapa final'!$O$33),"")</f>
        <v/>
      </c>
      <c r="AC14" s="53" t="str">
        <f>IF(AND('Mapa final'!$Y$34="Muy Alta",'Mapa final'!$AA$34="Mayor"),CONCATENATE("R9C",'Mapa final'!$O$34),"")</f>
        <v/>
      </c>
      <c r="AD14" s="58" t="str">
        <f>IF(AND('Mapa final'!$Y$35="Muy Alta",'Mapa final'!$AA$35="Mayor"),CONCATENATE("R9C",'Mapa final'!$O$35),"")</f>
        <v/>
      </c>
      <c r="AE14" s="58" t="str">
        <f>IF(AND('Mapa final'!$Y$36="Muy Alta",'Mapa final'!$AA$36="Mayor"),CONCATENATE("R9C",'Mapa final'!$O$36),"")</f>
        <v/>
      </c>
      <c r="AF14" s="58" t="str">
        <f>IF(AND('Mapa final'!$Y$37="Muy Alta",'Mapa final'!$AA$37="Mayor"),CONCATENATE("R9C",'Mapa final'!$O$37),"")</f>
        <v/>
      </c>
      <c r="AG14" s="54" t="str">
        <f>IF(AND('Mapa final'!$Y$38="Muy Alta",'Mapa final'!$AA$38="Mayor"),CONCATENATE("R9C",'Mapa final'!$O$38),"")</f>
        <v/>
      </c>
      <c r="AH14" s="55" t="str">
        <f>IF(AND('Mapa final'!$Y$33="Muy Alta",'Mapa final'!$AA$33="Catastrófico"),CONCATENATE("R9C",'Mapa final'!$O$33),"")</f>
        <v/>
      </c>
      <c r="AI14" s="56" t="str">
        <f>IF(AND('Mapa final'!$Y$34="Muy Alta",'Mapa final'!$AA$34="Catastrófico"),CONCATENATE("R9C",'Mapa final'!$O$34),"")</f>
        <v/>
      </c>
      <c r="AJ14" s="56" t="str">
        <f>IF(AND('Mapa final'!$Y$35="Muy Alta",'Mapa final'!$AA$35="Catastrófico"),CONCATENATE("R9C",'Mapa final'!$O$35),"")</f>
        <v/>
      </c>
      <c r="AK14" s="56" t="str">
        <f>IF(AND('Mapa final'!$Y$36="Muy Alta",'Mapa final'!$AA$36="Catastrófico"),CONCATENATE("R9C",'Mapa final'!$O$36),"")</f>
        <v/>
      </c>
      <c r="AL14" s="56" t="str">
        <f>IF(AND('Mapa final'!$Y$37="Muy Alta",'Mapa final'!$AA$37="Catastrófico"),CONCATENATE("R9C",'Mapa final'!$O$37),"")</f>
        <v/>
      </c>
      <c r="AM14" s="57" t="str">
        <f>IF(AND('Mapa final'!$Y$38="Muy Alta",'Mapa final'!$AA$38="Catastrófico"),CONCATENATE("R9C",'Mapa final'!$O$38),"")</f>
        <v/>
      </c>
      <c r="AN14" s="84"/>
      <c r="AO14" s="370"/>
      <c r="AP14" s="371"/>
      <c r="AQ14" s="371"/>
      <c r="AR14" s="371"/>
      <c r="AS14" s="371"/>
      <c r="AT14" s="37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308"/>
      <c r="C15" s="308"/>
      <c r="D15" s="309"/>
      <c r="E15" s="352"/>
      <c r="F15" s="353"/>
      <c r="G15" s="353"/>
      <c r="H15" s="353"/>
      <c r="I15" s="354"/>
      <c r="J15" s="59" t="str">
        <f>IF(AND('Mapa final'!$Y$39="Muy Alta",'Mapa final'!$AA$39="Leve"),CONCATENATE("R10C",'Mapa final'!$O$39),"")</f>
        <v/>
      </c>
      <c r="K15" s="60" t="str">
        <f>IF(AND('Mapa final'!$Y$40="Muy Alta",'Mapa final'!$AA$40="Leve"),CONCATENATE("R10C",'Mapa final'!$O$40),"")</f>
        <v/>
      </c>
      <c r="L15" s="60" t="str">
        <f>IF(AND('Mapa final'!$Y$41="Muy Alta",'Mapa final'!$AA$41="Leve"),CONCATENATE("R10C",'Mapa final'!$O$41),"")</f>
        <v/>
      </c>
      <c r="M15" s="60" t="str">
        <f>IF(AND('Mapa final'!$Y$42="Muy Alta",'Mapa final'!$AA$42="Leve"),CONCATENATE("R10C",'Mapa final'!$O$42),"")</f>
        <v/>
      </c>
      <c r="N15" s="60" t="str">
        <f>IF(AND('Mapa final'!$Y$43="Muy Alta",'Mapa final'!$AA$43="Leve"),CONCATENATE("R10C",'Mapa final'!$O$43),"")</f>
        <v/>
      </c>
      <c r="O15" s="61" t="str">
        <f>IF(AND('Mapa final'!$Y$44="Muy Alta",'Mapa final'!$AA$44="Leve"),CONCATENATE("R10C",'Mapa final'!$O$44),"")</f>
        <v/>
      </c>
      <c r="P15" s="52" t="str">
        <f>IF(AND('Mapa final'!$Y$39="Muy Alta",'Mapa final'!$AA$39="Menor"),CONCATENATE("R10C",'Mapa final'!$O$39),"")</f>
        <v/>
      </c>
      <c r="Q15" s="53" t="str">
        <f>IF(AND('Mapa final'!$Y$40="Muy Alta",'Mapa final'!$AA$40="Menor"),CONCATENATE("R10C",'Mapa final'!$O$40),"")</f>
        <v/>
      </c>
      <c r="R15" s="53" t="str">
        <f>IF(AND('Mapa final'!$Y$41="Muy Alta",'Mapa final'!$AA$41="Menor"),CONCATENATE("R10C",'Mapa final'!$O$41),"")</f>
        <v/>
      </c>
      <c r="S15" s="53" t="str">
        <f>IF(AND('Mapa final'!$Y$42="Muy Alta",'Mapa final'!$AA$42="Menor"),CONCATENATE("R10C",'Mapa final'!$O$42),"")</f>
        <v/>
      </c>
      <c r="T15" s="53" t="str">
        <f>IF(AND('Mapa final'!$Y$43="Muy Alta",'Mapa final'!$AA$43="Menor"),CONCATENATE("R10C",'Mapa final'!$O$43),"")</f>
        <v/>
      </c>
      <c r="U15" s="54" t="str">
        <f>IF(AND('Mapa final'!$Y$44="Muy Alta",'Mapa final'!$AA$44="Menor"),CONCATENATE("R10C",'Mapa final'!$O$44),"")</f>
        <v/>
      </c>
      <c r="V15" s="59" t="str">
        <f>IF(AND('Mapa final'!$Y$39="Muy Alta",'Mapa final'!$AA$39="Moderado"),CONCATENATE("R10C",'Mapa final'!$O$39),"")</f>
        <v/>
      </c>
      <c r="W15" s="60" t="str">
        <f>IF(AND('Mapa final'!$Y$40="Muy Alta",'Mapa final'!$AA$40="Moderado"),CONCATENATE("R10C",'Mapa final'!$O$40),"")</f>
        <v/>
      </c>
      <c r="X15" s="60" t="str">
        <f>IF(AND('Mapa final'!$Y$41="Muy Alta",'Mapa final'!$AA$41="Moderado"),CONCATENATE("R10C",'Mapa final'!$O$41),"")</f>
        <v/>
      </c>
      <c r="Y15" s="60" t="str">
        <f>IF(AND('Mapa final'!$Y$42="Muy Alta",'Mapa final'!$AA$42="Moderado"),CONCATENATE("R10C",'Mapa final'!$O$42),"")</f>
        <v/>
      </c>
      <c r="Z15" s="60" t="str">
        <f>IF(AND('Mapa final'!$Y$43="Muy Alta",'Mapa final'!$AA$43="Moderado"),CONCATENATE("R10C",'Mapa final'!$O$43),"")</f>
        <v/>
      </c>
      <c r="AA15" s="61" t="str">
        <f>IF(AND('Mapa final'!$Y$44="Muy Alta",'Mapa final'!$AA$44="Moderado"),CONCATENATE("R10C",'Mapa final'!$O$44),"")</f>
        <v/>
      </c>
      <c r="AB15" s="52" t="str">
        <f>IF(AND('Mapa final'!$Y$39="Muy Alta",'Mapa final'!$AA$39="Mayor"),CONCATENATE("R10C",'Mapa final'!$O$39),"")</f>
        <v/>
      </c>
      <c r="AC15" s="53" t="str">
        <f>IF(AND('Mapa final'!$Y$40="Muy Alta",'Mapa final'!$AA$40="Mayor"),CONCATENATE("R10C",'Mapa final'!$O$40),"")</f>
        <v/>
      </c>
      <c r="AD15" s="53" t="str">
        <f>IF(AND('Mapa final'!$Y$41="Muy Alta",'Mapa final'!$AA$41="Mayor"),CONCATENATE("R10C",'Mapa final'!$O$41),"")</f>
        <v/>
      </c>
      <c r="AE15" s="53" t="str">
        <f>IF(AND('Mapa final'!$Y$42="Muy Alta",'Mapa final'!$AA$42="Mayor"),CONCATENATE("R10C",'Mapa final'!$O$42),"")</f>
        <v/>
      </c>
      <c r="AF15" s="53" t="str">
        <f>IF(AND('Mapa final'!$Y$43="Muy Alta",'Mapa final'!$AA$43="Mayor"),CONCATENATE("R10C",'Mapa final'!$O$43),"")</f>
        <v/>
      </c>
      <c r="AG15" s="54" t="str">
        <f>IF(AND('Mapa final'!$Y$44="Muy Alta",'Mapa final'!$AA$44="Mayor"),CONCATENATE("R10C",'Mapa final'!$O$44),"")</f>
        <v/>
      </c>
      <c r="AH15" s="62" t="str">
        <f>IF(AND('Mapa final'!$Y$39="Muy Alta",'Mapa final'!$AA$39="Catastrófico"),CONCATENATE("R10C",'Mapa final'!$O$39),"")</f>
        <v/>
      </c>
      <c r="AI15" s="63" t="str">
        <f>IF(AND('Mapa final'!$Y$40="Muy Alta",'Mapa final'!$AA$40="Catastrófico"),CONCATENATE("R10C",'Mapa final'!$O$40),"")</f>
        <v/>
      </c>
      <c r="AJ15" s="63" t="str">
        <f>IF(AND('Mapa final'!$Y$41="Muy Alta",'Mapa final'!$AA$41="Catastrófico"),CONCATENATE("R10C",'Mapa final'!$O$41),"")</f>
        <v/>
      </c>
      <c r="AK15" s="63" t="str">
        <f>IF(AND('Mapa final'!$Y$42="Muy Alta",'Mapa final'!$AA$42="Catastrófico"),CONCATENATE("R10C",'Mapa final'!$O$42),"")</f>
        <v/>
      </c>
      <c r="AL15" s="63" t="str">
        <f>IF(AND('Mapa final'!$Y$43="Muy Alta",'Mapa final'!$AA$43="Catastrófico"),CONCATENATE("R10C",'Mapa final'!$O$43),"")</f>
        <v/>
      </c>
      <c r="AM15" s="64" t="str">
        <f>IF(AND('Mapa final'!$Y$44="Muy Alta",'Mapa final'!$AA$44="Catastrófico"),CONCATENATE("R10C",'Mapa final'!$O$44),"")</f>
        <v/>
      </c>
      <c r="AN15" s="84"/>
      <c r="AO15" s="373"/>
      <c r="AP15" s="374"/>
      <c r="AQ15" s="374"/>
      <c r="AR15" s="374"/>
      <c r="AS15" s="374"/>
      <c r="AT15" s="37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308"/>
      <c r="C16" s="308"/>
      <c r="D16" s="309"/>
      <c r="E16" s="346" t="s">
        <v>115</v>
      </c>
      <c r="F16" s="347"/>
      <c r="G16" s="347"/>
      <c r="H16" s="347"/>
      <c r="I16" s="347"/>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56" t="s">
        <v>80</v>
      </c>
      <c r="AP16" s="357"/>
      <c r="AQ16" s="357"/>
      <c r="AR16" s="357"/>
      <c r="AS16" s="357"/>
      <c r="AT16" s="35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308"/>
      <c r="C17" s="308"/>
      <c r="D17" s="309"/>
      <c r="E17" s="365"/>
      <c r="F17" s="366"/>
      <c r="G17" s="366"/>
      <c r="H17" s="366"/>
      <c r="I17" s="366"/>
      <c r="J17" s="68" t="str">
        <f>IF(AND('Mapa final'!$Y$11="Alta",'Mapa final'!$AA$11="Leve"),CONCATENATE("R2C",'Mapa final'!$O$11),"")</f>
        <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final'!$Y$11="Alta",'Mapa final'!$AA$11="Menor"),CONCATENATE("R2C",'Mapa final'!$O$11),"")</f>
        <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59"/>
      <c r="AP17" s="360"/>
      <c r="AQ17" s="360"/>
      <c r="AR17" s="360"/>
      <c r="AS17" s="360"/>
      <c r="AT17" s="36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308"/>
      <c r="C18" s="308"/>
      <c r="D18" s="309"/>
      <c r="E18" s="349"/>
      <c r="F18" s="350"/>
      <c r="G18" s="350"/>
      <c r="H18" s="350"/>
      <c r="I18" s="366"/>
      <c r="J18" s="68" t="str">
        <f>IF(AND('Mapa final'!$Y$12="Alta",'Mapa final'!$AA$12="Leve"),CONCATENATE("R3C",'Mapa final'!$O$12),"")</f>
        <v/>
      </c>
      <c r="K18" s="69" t="e">
        <f>IF(AND('Mapa final'!#REF!="Alta",'Mapa final'!#REF!="Leve"),CONCATENATE("R3C",'Mapa final'!#REF!),"")</f>
        <v>#REF!</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str">
        <f>IF(AND('Mapa final'!$Y$12="Alta",'Mapa final'!$AA$12="Menor"),CONCATENATE("R3C",'Mapa final'!$O$12),"")</f>
        <v/>
      </c>
      <c r="Q18" s="69" t="e">
        <f>IF(AND('Mapa final'!#REF!="Alta",'Mapa final'!#REF!="Menor"),CONCATENATE("R3C",'Mapa final'!#REF!),"")</f>
        <v>#REF!</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59"/>
      <c r="AP18" s="360"/>
      <c r="AQ18" s="360"/>
      <c r="AR18" s="360"/>
      <c r="AS18" s="360"/>
      <c r="AT18" s="36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308"/>
      <c r="C19" s="308"/>
      <c r="D19" s="309"/>
      <c r="E19" s="349"/>
      <c r="F19" s="350"/>
      <c r="G19" s="350"/>
      <c r="H19" s="350"/>
      <c r="I19" s="366"/>
      <c r="J19" s="68" t="str">
        <f>IF(AND('Mapa final'!$Y$13="Alta",'Mapa final'!$AA$13="Leve"),CONCATENATE("R4C",'Mapa final'!$O$13),"")</f>
        <v/>
      </c>
      <c r="K19" s="69" t="e">
        <f>IF(AND('Mapa final'!#REF!="Alta",'Mapa final'!#REF!="Leve"),CONCATENATE("R4C",'Mapa final'!#REF!),"")</f>
        <v>#REF!</v>
      </c>
      <c r="L19" s="69" t="e">
        <f>IF(AND('Mapa final'!#REF!="Alta",'Mapa final'!#REF!="Leve"),CONCATENATE("R4C",'Mapa final'!#REF!),"")</f>
        <v>#REF!</v>
      </c>
      <c r="M19" s="69" t="e">
        <f>IF(AND('Mapa final'!#REF!="Alta",'Mapa final'!#REF!="Leve"),CONCATENATE("R4C",'Mapa final'!#REF!),"")</f>
        <v>#REF!</v>
      </c>
      <c r="N19" s="69" t="e">
        <f>IF(AND('Mapa final'!#REF!="Alta",'Mapa final'!#REF!="Leve"),CONCATENATE("R4C",'Mapa final'!#REF!),"")</f>
        <v>#REF!</v>
      </c>
      <c r="O19" s="70" t="e">
        <f>IF(AND('Mapa final'!#REF!="Alta",'Mapa final'!#REF!="Leve"),CONCATENATE("R4C",'Mapa final'!#REF!),"")</f>
        <v>#REF!</v>
      </c>
      <c r="P19" s="68" t="str">
        <f>IF(AND('Mapa final'!$Y$13="Alta",'Mapa final'!$AA$13="Menor"),CONCATENATE("R4C",'Mapa final'!$O$13),"")</f>
        <v/>
      </c>
      <c r="Q19" s="69" t="e">
        <f>IF(AND('Mapa final'!#REF!="Alta",'Mapa final'!#REF!="Menor"),CONCATENATE("R4C",'Mapa final'!#REF!),"")</f>
        <v>#REF!</v>
      </c>
      <c r="R19" s="69" t="e">
        <f>IF(AND('Mapa final'!#REF!="Alta",'Mapa final'!#REF!="Menor"),CONCATENATE("R4C",'Mapa final'!#REF!),"")</f>
        <v>#REF!</v>
      </c>
      <c r="S19" s="69" t="e">
        <f>IF(AND('Mapa final'!#REF!="Alta",'Mapa final'!#REF!="Menor"),CONCATENATE("R4C",'Mapa final'!#REF!),"")</f>
        <v>#REF!</v>
      </c>
      <c r="T19" s="69" t="e">
        <f>IF(AND('Mapa final'!#REF!="Alta",'Mapa final'!#REF!="Menor"),CONCATENATE("R4C",'Mapa final'!#REF!),"")</f>
        <v>#REF!</v>
      </c>
      <c r="U19" s="70"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8" t="e">
        <f>IF(AND('Mapa final'!#REF!="Alta",'Mapa final'!#REF!="Moderado"),CONCATENATE("R4C",'Mapa final'!#REF!),"")</f>
        <v>#REF!</v>
      </c>
      <c r="Y19" s="58" t="e">
        <f>IF(AND('Mapa final'!#REF!="Alta",'Mapa final'!#REF!="Moderado"),CONCATENATE("R4C",'Mapa final'!#REF!),"")</f>
        <v>#REF!</v>
      </c>
      <c r="Z19" s="58"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8" t="e">
        <f>IF(AND('Mapa final'!#REF!="Alta",'Mapa final'!#REF!="Mayor"),CONCATENATE("R4C",'Mapa final'!#REF!),"")</f>
        <v>#REF!</v>
      </c>
      <c r="AE19" s="58" t="e">
        <f>IF(AND('Mapa final'!#REF!="Alta",'Mapa final'!#REF!="Mayor"),CONCATENATE("R4C",'Mapa final'!#REF!),"")</f>
        <v>#REF!</v>
      </c>
      <c r="AF19" s="58"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4"/>
      <c r="AO19" s="359"/>
      <c r="AP19" s="360"/>
      <c r="AQ19" s="360"/>
      <c r="AR19" s="360"/>
      <c r="AS19" s="360"/>
      <c r="AT19" s="36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308"/>
      <c r="C20" s="308"/>
      <c r="D20" s="309"/>
      <c r="E20" s="349"/>
      <c r="F20" s="350"/>
      <c r="G20" s="350"/>
      <c r="H20" s="350"/>
      <c r="I20" s="366"/>
      <c r="J20" s="68" t="str">
        <f>IF(AND('Mapa final'!$Y$14="Alta",'Mapa final'!$AA$14="Leve"),CONCATENATE("R5C",'Mapa final'!$O$14),"")</f>
        <v/>
      </c>
      <c r="K20" s="69" t="e">
        <f>IF(AND('Mapa final'!#REF!="Alta",'Mapa final'!#REF!="Leve"),CONCATENATE("R5C",'Mapa final'!#REF!),"")</f>
        <v>#REF!</v>
      </c>
      <c r="L20" s="69" t="e">
        <f>IF(AND('Mapa final'!#REF!="Alta",'Mapa final'!#REF!="Leve"),CONCATENATE("R5C",'Mapa final'!#REF!),"")</f>
        <v>#REF!</v>
      </c>
      <c r="M20" s="69" t="e">
        <f>IF(AND('Mapa final'!#REF!="Alta",'Mapa final'!#REF!="Leve"),CONCATENATE("R5C",'Mapa final'!#REF!),"")</f>
        <v>#REF!</v>
      </c>
      <c r="N20" s="69" t="e">
        <f>IF(AND('Mapa final'!#REF!="Alta",'Mapa final'!#REF!="Leve"),CONCATENATE("R5C",'Mapa final'!#REF!),"")</f>
        <v>#REF!</v>
      </c>
      <c r="O20" s="70" t="e">
        <f>IF(AND('Mapa final'!#REF!="Alta",'Mapa final'!#REF!="Leve"),CONCATENATE("R5C",'Mapa final'!#REF!),"")</f>
        <v>#REF!</v>
      </c>
      <c r="P20" s="68" t="str">
        <f>IF(AND('Mapa final'!$Y$14="Alta",'Mapa final'!$AA$14="Menor"),CONCATENATE("R5C",'Mapa final'!$O$14),"")</f>
        <v/>
      </c>
      <c r="Q20" s="69" t="e">
        <f>IF(AND('Mapa final'!#REF!="Alta",'Mapa final'!#REF!="Menor"),CONCATENATE("R5C",'Mapa final'!#REF!),"")</f>
        <v>#REF!</v>
      </c>
      <c r="R20" s="69" t="e">
        <f>IF(AND('Mapa final'!#REF!="Alta",'Mapa final'!#REF!="Menor"),CONCATENATE("R5C",'Mapa final'!#REF!),"")</f>
        <v>#REF!</v>
      </c>
      <c r="S20" s="69" t="e">
        <f>IF(AND('Mapa final'!#REF!="Alta",'Mapa final'!#REF!="Menor"),CONCATENATE("R5C",'Mapa final'!#REF!),"")</f>
        <v>#REF!</v>
      </c>
      <c r="T20" s="69" t="e">
        <f>IF(AND('Mapa final'!#REF!="Alta",'Mapa final'!#REF!="Menor"),CONCATENATE("R5C",'Mapa final'!#REF!),"")</f>
        <v>#REF!</v>
      </c>
      <c r="U20" s="70" t="e">
        <f>IF(AND('Mapa final'!#REF!="Alta",'Mapa final'!#REF!="Menor"),CONCATENATE("R5C",'Mapa final'!#REF!),"")</f>
        <v>#REF!</v>
      </c>
      <c r="V20" s="52" t="str">
        <f>IF(AND('Mapa final'!$Y$14="Alta",'Mapa final'!$AA$14="Moderado"),CONCATENATE("R5C",'Mapa final'!$O$14),"")</f>
        <v/>
      </c>
      <c r="W20" s="53" t="e">
        <f>IF(AND('Mapa final'!#REF!="Alta",'Mapa final'!#REF!="Moderado"),CONCATENATE("R5C",'Mapa final'!#REF!),"")</f>
        <v>#REF!</v>
      </c>
      <c r="X20" s="58" t="e">
        <f>IF(AND('Mapa final'!#REF!="Alta",'Mapa final'!#REF!="Moderado"),CONCATENATE("R5C",'Mapa final'!#REF!),"")</f>
        <v>#REF!</v>
      </c>
      <c r="Y20" s="58" t="e">
        <f>IF(AND('Mapa final'!#REF!="Alta",'Mapa final'!#REF!="Moderado"),CONCATENATE("R5C",'Mapa final'!#REF!),"")</f>
        <v>#REF!</v>
      </c>
      <c r="Z20" s="58"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8" t="e">
        <f>IF(AND('Mapa final'!#REF!="Alta",'Mapa final'!#REF!="Mayor"),CONCATENATE("R5C",'Mapa final'!#REF!),"")</f>
        <v>#REF!</v>
      </c>
      <c r="AE20" s="58" t="e">
        <f>IF(AND('Mapa final'!#REF!="Alta",'Mapa final'!#REF!="Mayor"),CONCATENATE("R5C",'Mapa final'!#REF!),"")</f>
        <v>#REF!</v>
      </c>
      <c r="AF20" s="58"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4"/>
      <c r="AO20" s="359"/>
      <c r="AP20" s="360"/>
      <c r="AQ20" s="360"/>
      <c r="AR20" s="360"/>
      <c r="AS20" s="360"/>
      <c r="AT20" s="36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308"/>
      <c r="C21" s="308"/>
      <c r="D21" s="309"/>
      <c r="E21" s="349"/>
      <c r="F21" s="350"/>
      <c r="G21" s="350"/>
      <c r="H21" s="350"/>
      <c r="I21" s="366"/>
      <c r="J21" s="68" t="str">
        <f>IF(AND('Mapa final'!$Y$15="Alta",'Mapa final'!$AA$15="Leve"),CONCATENATE("R6C",'Mapa final'!$O$15),"")</f>
        <v/>
      </c>
      <c r="K21" s="69" t="str">
        <f>IF(AND('Mapa final'!$Y$16="Alta",'Mapa final'!$AA$16="Leve"),CONCATENATE("R6C",'Mapa final'!$O$16),"")</f>
        <v/>
      </c>
      <c r="L21" s="69" t="str">
        <f>IF(AND('Mapa final'!$Y$17="Alta",'Mapa final'!$AA$17="Leve"),CONCATENATE("R6C",'Mapa final'!$O$17),"")</f>
        <v/>
      </c>
      <c r="M21" s="69" t="str">
        <f>IF(AND('Mapa final'!$Y$18="Alta",'Mapa final'!$AA$18="Leve"),CONCATENATE("R6C",'Mapa final'!$O$18),"")</f>
        <v/>
      </c>
      <c r="N21" s="69" t="str">
        <f>IF(AND('Mapa final'!$Y$19="Alta",'Mapa final'!$AA$19="Leve"),CONCATENATE("R6C",'Mapa final'!$O$19),"")</f>
        <v/>
      </c>
      <c r="O21" s="70" t="str">
        <f>IF(AND('Mapa final'!$Y$20="Alta",'Mapa final'!$AA$20="Leve"),CONCATENATE("R6C",'Mapa final'!$O$20),"")</f>
        <v/>
      </c>
      <c r="P21" s="68" t="str">
        <f>IF(AND('Mapa final'!$Y$15="Alta",'Mapa final'!$AA$15="Menor"),CONCATENATE("R6C",'Mapa final'!$O$15),"")</f>
        <v/>
      </c>
      <c r="Q21" s="69" t="str">
        <f>IF(AND('Mapa final'!$Y$16="Alta",'Mapa final'!$AA$16="Menor"),CONCATENATE("R6C",'Mapa final'!$O$16),"")</f>
        <v/>
      </c>
      <c r="R21" s="69" t="str">
        <f>IF(AND('Mapa final'!$Y$17="Alta",'Mapa final'!$AA$17="Menor"),CONCATENATE("R6C",'Mapa final'!$O$17),"")</f>
        <v/>
      </c>
      <c r="S21" s="69" t="str">
        <f>IF(AND('Mapa final'!$Y$18="Alta",'Mapa final'!$AA$18="Menor"),CONCATENATE("R6C",'Mapa final'!$O$18),"")</f>
        <v/>
      </c>
      <c r="T21" s="69" t="str">
        <f>IF(AND('Mapa final'!$Y$19="Alta",'Mapa final'!$AA$19="Menor"),CONCATENATE("R6C",'Mapa final'!$O$19),"")</f>
        <v/>
      </c>
      <c r="U21" s="70" t="str">
        <f>IF(AND('Mapa final'!$Y$20="Alta",'Mapa final'!$AA$20="Menor"),CONCATENATE("R6C",'Mapa final'!$O$20),"")</f>
        <v/>
      </c>
      <c r="V21" s="52" t="str">
        <f>IF(AND('Mapa final'!$Y$15="Alta",'Mapa final'!$AA$15="Moderado"),CONCATENATE("R6C",'Mapa final'!$O$15),"")</f>
        <v/>
      </c>
      <c r="W21" s="53" t="str">
        <f>IF(AND('Mapa final'!$Y$16="Alta",'Mapa final'!$AA$16="Moderado"),CONCATENATE("R6C",'Mapa final'!$O$16),"")</f>
        <v/>
      </c>
      <c r="X21" s="58" t="str">
        <f>IF(AND('Mapa final'!$Y$17="Alta",'Mapa final'!$AA$17="Moderado"),CONCATENATE("R6C",'Mapa final'!$O$17),"")</f>
        <v/>
      </c>
      <c r="Y21" s="58" t="str">
        <f>IF(AND('Mapa final'!$Y$18="Alta",'Mapa final'!$AA$18="Moderado"),CONCATENATE("R6C",'Mapa final'!$O$18),"")</f>
        <v/>
      </c>
      <c r="Z21" s="58" t="str">
        <f>IF(AND('Mapa final'!$Y$19="Alta",'Mapa final'!$AA$19="Moderado"),CONCATENATE("R6C",'Mapa final'!$O$19),"")</f>
        <v/>
      </c>
      <c r="AA21" s="54" t="str">
        <f>IF(AND('Mapa final'!$Y$20="Alta",'Mapa final'!$AA$20="Moderado"),CONCATENATE("R6C",'Mapa final'!$O$20),"")</f>
        <v/>
      </c>
      <c r="AB21" s="52" t="str">
        <f>IF(AND('Mapa final'!$Y$15="Alta",'Mapa final'!$AA$15="Mayor"),CONCATENATE("R6C",'Mapa final'!$O$15),"")</f>
        <v/>
      </c>
      <c r="AC21" s="53" t="str">
        <f>IF(AND('Mapa final'!$Y$16="Alta",'Mapa final'!$AA$16="Mayor"),CONCATENATE("R6C",'Mapa final'!$O$16),"")</f>
        <v/>
      </c>
      <c r="AD21" s="58" t="str">
        <f>IF(AND('Mapa final'!$Y$17="Alta",'Mapa final'!$AA$17="Mayor"),CONCATENATE("R6C",'Mapa final'!$O$17),"")</f>
        <v/>
      </c>
      <c r="AE21" s="58" t="str">
        <f>IF(AND('Mapa final'!$Y$18="Alta",'Mapa final'!$AA$18="Mayor"),CONCATENATE("R6C",'Mapa final'!$O$18),"")</f>
        <v/>
      </c>
      <c r="AF21" s="58" t="str">
        <f>IF(AND('Mapa final'!$Y$19="Alta",'Mapa final'!$AA$19="Mayor"),CONCATENATE("R6C",'Mapa final'!$O$19),"")</f>
        <v/>
      </c>
      <c r="AG21" s="54" t="str">
        <f>IF(AND('Mapa final'!$Y$20="Alta",'Mapa final'!$AA$20="Mayor"),CONCATENATE("R6C",'Mapa final'!$O$20),"")</f>
        <v/>
      </c>
      <c r="AH21" s="55" t="str">
        <f>IF(AND('Mapa final'!$Y$15="Alta",'Mapa final'!$AA$15="Catastrófico"),CONCATENATE("R6C",'Mapa final'!$O$15),"")</f>
        <v/>
      </c>
      <c r="AI21" s="56" t="str">
        <f>IF(AND('Mapa final'!$Y$16="Alta",'Mapa final'!$AA$16="Catastrófico"),CONCATENATE("R6C",'Mapa final'!$O$16),"")</f>
        <v/>
      </c>
      <c r="AJ21" s="56" t="str">
        <f>IF(AND('Mapa final'!$Y$17="Alta",'Mapa final'!$AA$17="Catastrófico"),CONCATENATE("R6C",'Mapa final'!$O$17),"")</f>
        <v/>
      </c>
      <c r="AK21" s="56" t="str">
        <f>IF(AND('Mapa final'!$Y$18="Alta",'Mapa final'!$AA$18="Catastrófico"),CONCATENATE("R6C",'Mapa final'!$O$18),"")</f>
        <v/>
      </c>
      <c r="AL21" s="56" t="str">
        <f>IF(AND('Mapa final'!$Y$19="Alta",'Mapa final'!$AA$19="Catastrófico"),CONCATENATE("R6C",'Mapa final'!$O$19),"")</f>
        <v/>
      </c>
      <c r="AM21" s="57" t="str">
        <f>IF(AND('Mapa final'!$Y$20="Alta",'Mapa final'!$AA$20="Catastrófico"),CONCATENATE("R6C",'Mapa final'!$O$20),"")</f>
        <v/>
      </c>
      <c r="AN21" s="84"/>
      <c r="AO21" s="359"/>
      <c r="AP21" s="360"/>
      <c r="AQ21" s="360"/>
      <c r="AR21" s="360"/>
      <c r="AS21" s="360"/>
      <c r="AT21" s="36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308"/>
      <c r="C22" s="308"/>
      <c r="D22" s="309"/>
      <c r="E22" s="349"/>
      <c r="F22" s="350"/>
      <c r="G22" s="350"/>
      <c r="H22" s="350"/>
      <c r="I22" s="366"/>
      <c r="J22" s="68" t="str">
        <f>IF(AND('Mapa final'!$Y$21="Alta",'Mapa final'!$AA$21="Leve"),CONCATENATE("R7C",'Mapa final'!$O$21),"")</f>
        <v/>
      </c>
      <c r="K22" s="69" t="str">
        <f>IF(AND('Mapa final'!$Y$22="Alta",'Mapa final'!$AA$22="Leve"),CONCATENATE("R7C",'Mapa final'!$O$22),"")</f>
        <v/>
      </c>
      <c r="L22" s="69" t="str">
        <f>IF(AND('Mapa final'!$Y$23="Alta",'Mapa final'!$AA$23="Leve"),CONCATENATE("R7C",'Mapa final'!$O$23),"")</f>
        <v/>
      </c>
      <c r="M22" s="69" t="str">
        <f>IF(AND('Mapa final'!$Y$24="Alta",'Mapa final'!$AA$24="Leve"),CONCATENATE("R7C",'Mapa final'!$O$24),"")</f>
        <v/>
      </c>
      <c r="N22" s="69" t="str">
        <f>IF(AND('Mapa final'!$Y$25="Alta",'Mapa final'!$AA$25="Leve"),CONCATENATE("R7C",'Mapa final'!$O$25),"")</f>
        <v/>
      </c>
      <c r="O22" s="70" t="str">
        <f>IF(AND('Mapa final'!$Y$26="Alta",'Mapa final'!$AA$26="Leve"),CONCATENATE("R7C",'Mapa final'!$O$26),"")</f>
        <v/>
      </c>
      <c r="P22" s="68" t="str">
        <f>IF(AND('Mapa final'!$Y$21="Alta",'Mapa final'!$AA$21="Menor"),CONCATENATE("R7C",'Mapa final'!$O$21),"")</f>
        <v/>
      </c>
      <c r="Q22" s="69" t="str">
        <f>IF(AND('Mapa final'!$Y$22="Alta",'Mapa final'!$AA$22="Menor"),CONCATENATE("R7C",'Mapa final'!$O$22),"")</f>
        <v/>
      </c>
      <c r="R22" s="69" t="str">
        <f>IF(AND('Mapa final'!$Y$23="Alta",'Mapa final'!$AA$23="Menor"),CONCATENATE("R7C",'Mapa final'!$O$23),"")</f>
        <v/>
      </c>
      <c r="S22" s="69" t="str">
        <f>IF(AND('Mapa final'!$Y$24="Alta",'Mapa final'!$AA$24="Menor"),CONCATENATE("R7C",'Mapa final'!$O$24),"")</f>
        <v/>
      </c>
      <c r="T22" s="69" t="str">
        <f>IF(AND('Mapa final'!$Y$25="Alta",'Mapa final'!$AA$25="Menor"),CONCATENATE("R7C",'Mapa final'!$O$25),"")</f>
        <v/>
      </c>
      <c r="U22" s="70" t="str">
        <f>IF(AND('Mapa final'!$Y$26="Alta",'Mapa final'!$AA$26="Menor"),CONCATENATE("R7C",'Mapa final'!$O$26),"")</f>
        <v/>
      </c>
      <c r="V22" s="52" t="str">
        <f>IF(AND('Mapa final'!$Y$21="Alta",'Mapa final'!$AA$21="Moderado"),CONCATENATE("R7C",'Mapa final'!$O$21),"")</f>
        <v/>
      </c>
      <c r="W22" s="53" t="str">
        <f>IF(AND('Mapa final'!$Y$22="Alta",'Mapa final'!$AA$22="Moderado"),CONCATENATE("R7C",'Mapa final'!$O$22),"")</f>
        <v/>
      </c>
      <c r="X22" s="58" t="str">
        <f>IF(AND('Mapa final'!$Y$23="Alta",'Mapa final'!$AA$23="Moderado"),CONCATENATE("R7C",'Mapa final'!$O$23),"")</f>
        <v/>
      </c>
      <c r="Y22" s="58" t="str">
        <f>IF(AND('Mapa final'!$Y$24="Alta",'Mapa final'!$AA$24="Moderado"),CONCATENATE("R7C",'Mapa final'!$O$24),"")</f>
        <v/>
      </c>
      <c r="Z22" s="58" t="str">
        <f>IF(AND('Mapa final'!$Y$25="Alta",'Mapa final'!$AA$25="Moderado"),CONCATENATE("R7C",'Mapa final'!$O$25),"")</f>
        <v/>
      </c>
      <c r="AA22" s="54" t="str">
        <f>IF(AND('Mapa final'!$Y$26="Alta",'Mapa final'!$AA$26="Moderado"),CONCATENATE("R7C",'Mapa final'!$O$26),"")</f>
        <v/>
      </c>
      <c r="AB22" s="52" t="str">
        <f>IF(AND('Mapa final'!$Y$21="Alta",'Mapa final'!$AA$21="Mayor"),CONCATENATE("R7C",'Mapa final'!$O$21),"")</f>
        <v/>
      </c>
      <c r="AC22" s="53" t="str">
        <f>IF(AND('Mapa final'!$Y$22="Alta",'Mapa final'!$AA$22="Mayor"),CONCATENATE("R7C",'Mapa final'!$O$22),"")</f>
        <v/>
      </c>
      <c r="AD22" s="58" t="str">
        <f>IF(AND('Mapa final'!$Y$23="Alta",'Mapa final'!$AA$23="Mayor"),CONCATENATE("R7C",'Mapa final'!$O$23),"")</f>
        <v/>
      </c>
      <c r="AE22" s="58" t="str">
        <f>IF(AND('Mapa final'!$Y$24="Alta",'Mapa final'!$AA$24="Mayor"),CONCATENATE("R7C",'Mapa final'!$O$24),"")</f>
        <v/>
      </c>
      <c r="AF22" s="58" t="str">
        <f>IF(AND('Mapa final'!$Y$25="Alta",'Mapa final'!$AA$25="Mayor"),CONCATENATE("R7C",'Mapa final'!$O$25),"")</f>
        <v/>
      </c>
      <c r="AG22" s="54" t="str">
        <f>IF(AND('Mapa final'!$Y$26="Alta",'Mapa final'!$AA$26="Mayor"),CONCATENATE("R7C",'Mapa final'!$O$26),"")</f>
        <v/>
      </c>
      <c r="AH22" s="55" t="str">
        <f>IF(AND('Mapa final'!$Y$21="Alta",'Mapa final'!$AA$21="Catastrófico"),CONCATENATE("R7C",'Mapa final'!$O$21),"")</f>
        <v/>
      </c>
      <c r="AI22" s="56" t="str">
        <f>IF(AND('Mapa final'!$Y$22="Alta",'Mapa final'!$AA$22="Catastrófico"),CONCATENATE("R7C",'Mapa final'!$O$22),"")</f>
        <v/>
      </c>
      <c r="AJ22" s="56" t="str">
        <f>IF(AND('Mapa final'!$Y$23="Alta",'Mapa final'!$AA$23="Catastrófico"),CONCATENATE("R7C",'Mapa final'!$O$23),"")</f>
        <v/>
      </c>
      <c r="AK22" s="56" t="str">
        <f>IF(AND('Mapa final'!$Y$24="Alta",'Mapa final'!$AA$24="Catastrófico"),CONCATENATE("R7C",'Mapa final'!$O$24),"")</f>
        <v/>
      </c>
      <c r="AL22" s="56" t="str">
        <f>IF(AND('Mapa final'!$Y$25="Alta",'Mapa final'!$AA$25="Catastrófico"),CONCATENATE("R7C",'Mapa final'!$O$25),"")</f>
        <v/>
      </c>
      <c r="AM22" s="57" t="str">
        <f>IF(AND('Mapa final'!$Y$26="Alta",'Mapa final'!$AA$26="Catastrófico"),CONCATENATE("R7C",'Mapa final'!$O$26),"")</f>
        <v/>
      </c>
      <c r="AN22" s="84"/>
      <c r="AO22" s="359"/>
      <c r="AP22" s="360"/>
      <c r="AQ22" s="360"/>
      <c r="AR22" s="360"/>
      <c r="AS22" s="360"/>
      <c r="AT22" s="36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308"/>
      <c r="C23" s="308"/>
      <c r="D23" s="309"/>
      <c r="E23" s="349"/>
      <c r="F23" s="350"/>
      <c r="G23" s="350"/>
      <c r="H23" s="350"/>
      <c r="I23" s="366"/>
      <c r="J23" s="68" t="str">
        <f>IF(AND('Mapa final'!$Y$27="Alta",'Mapa final'!$AA$27="Leve"),CONCATENATE("R8C",'Mapa final'!$O$27),"")</f>
        <v/>
      </c>
      <c r="K23" s="69" t="str">
        <f>IF(AND('Mapa final'!$Y$28="Alta",'Mapa final'!$AA$28="Leve"),CONCATENATE("R8C",'Mapa final'!$O$28),"")</f>
        <v/>
      </c>
      <c r="L23" s="69" t="str">
        <f>IF(AND('Mapa final'!$Y$29="Alta",'Mapa final'!$AA$29="Leve"),CONCATENATE("R8C",'Mapa final'!$O$29),"")</f>
        <v/>
      </c>
      <c r="M23" s="69" t="str">
        <f>IF(AND('Mapa final'!$Y$30="Alta",'Mapa final'!$AA$30="Leve"),CONCATENATE("R8C",'Mapa final'!$O$30),"")</f>
        <v/>
      </c>
      <c r="N23" s="69" t="str">
        <f>IF(AND('Mapa final'!$Y$31="Alta",'Mapa final'!$AA$31="Leve"),CONCATENATE("R8C",'Mapa final'!$O$31),"")</f>
        <v/>
      </c>
      <c r="O23" s="70" t="str">
        <f>IF(AND('Mapa final'!$Y$32="Alta",'Mapa final'!$AA$32="Leve"),CONCATENATE("R8C",'Mapa final'!$O$32),"")</f>
        <v/>
      </c>
      <c r="P23" s="68" t="str">
        <f>IF(AND('Mapa final'!$Y$27="Alta",'Mapa final'!$AA$27="Menor"),CONCATENATE("R8C",'Mapa final'!$O$27),"")</f>
        <v/>
      </c>
      <c r="Q23" s="69" t="str">
        <f>IF(AND('Mapa final'!$Y$28="Alta",'Mapa final'!$AA$28="Menor"),CONCATENATE("R8C",'Mapa final'!$O$28),"")</f>
        <v/>
      </c>
      <c r="R23" s="69" t="str">
        <f>IF(AND('Mapa final'!$Y$29="Alta",'Mapa final'!$AA$29="Menor"),CONCATENATE("R8C",'Mapa final'!$O$29),"")</f>
        <v/>
      </c>
      <c r="S23" s="69" t="str">
        <f>IF(AND('Mapa final'!$Y$30="Alta",'Mapa final'!$AA$30="Menor"),CONCATENATE("R8C",'Mapa final'!$O$30),"")</f>
        <v/>
      </c>
      <c r="T23" s="69" t="str">
        <f>IF(AND('Mapa final'!$Y$31="Alta",'Mapa final'!$AA$31="Menor"),CONCATENATE("R8C",'Mapa final'!$O$31),"")</f>
        <v/>
      </c>
      <c r="U23" s="70" t="str">
        <f>IF(AND('Mapa final'!$Y$32="Alta",'Mapa final'!$AA$32="Menor"),CONCATENATE("R8C",'Mapa final'!$O$32),"")</f>
        <v/>
      </c>
      <c r="V23" s="52" t="str">
        <f>IF(AND('Mapa final'!$Y$27="Alta",'Mapa final'!$AA$27="Moderado"),CONCATENATE("R8C",'Mapa final'!$O$27),"")</f>
        <v/>
      </c>
      <c r="W23" s="53" t="str">
        <f>IF(AND('Mapa final'!$Y$28="Alta",'Mapa final'!$AA$28="Moderado"),CONCATENATE("R8C",'Mapa final'!$O$28),"")</f>
        <v/>
      </c>
      <c r="X23" s="58" t="str">
        <f>IF(AND('Mapa final'!$Y$29="Alta",'Mapa final'!$AA$29="Moderado"),CONCATENATE("R8C",'Mapa final'!$O$29),"")</f>
        <v/>
      </c>
      <c r="Y23" s="58" t="str">
        <f>IF(AND('Mapa final'!$Y$30="Alta",'Mapa final'!$AA$30="Moderado"),CONCATENATE("R8C",'Mapa final'!$O$30),"")</f>
        <v/>
      </c>
      <c r="Z23" s="58" t="str">
        <f>IF(AND('Mapa final'!$Y$31="Alta",'Mapa final'!$AA$31="Moderado"),CONCATENATE("R8C",'Mapa final'!$O$31),"")</f>
        <v/>
      </c>
      <c r="AA23" s="54" t="str">
        <f>IF(AND('Mapa final'!$Y$32="Alta",'Mapa final'!$AA$32="Moderado"),CONCATENATE("R8C",'Mapa final'!$O$32),"")</f>
        <v/>
      </c>
      <c r="AB23" s="52" t="str">
        <f>IF(AND('Mapa final'!$Y$27="Alta",'Mapa final'!$AA$27="Mayor"),CONCATENATE("R8C",'Mapa final'!$O$27),"")</f>
        <v/>
      </c>
      <c r="AC23" s="53" t="str">
        <f>IF(AND('Mapa final'!$Y$28="Alta",'Mapa final'!$AA$28="Mayor"),CONCATENATE("R8C",'Mapa final'!$O$28),"")</f>
        <v/>
      </c>
      <c r="AD23" s="58" t="str">
        <f>IF(AND('Mapa final'!$Y$29="Alta",'Mapa final'!$AA$29="Mayor"),CONCATENATE("R8C",'Mapa final'!$O$29),"")</f>
        <v/>
      </c>
      <c r="AE23" s="58" t="str">
        <f>IF(AND('Mapa final'!$Y$30="Alta",'Mapa final'!$AA$30="Mayor"),CONCATENATE("R8C",'Mapa final'!$O$30),"")</f>
        <v/>
      </c>
      <c r="AF23" s="58" t="str">
        <f>IF(AND('Mapa final'!$Y$31="Alta",'Mapa final'!$AA$31="Mayor"),CONCATENATE("R8C",'Mapa final'!$O$31),"")</f>
        <v/>
      </c>
      <c r="AG23" s="54" t="str">
        <f>IF(AND('Mapa final'!$Y$32="Alta",'Mapa final'!$AA$32="Mayor"),CONCATENATE("R8C",'Mapa final'!$O$32),"")</f>
        <v/>
      </c>
      <c r="AH23" s="55" t="str">
        <f>IF(AND('Mapa final'!$Y$27="Alta",'Mapa final'!$AA$27="Catastrófico"),CONCATENATE("R8C",'Mapa final'!$O$27),"")</f>
        <v/>
      </c>
      <c r="AI23" s="56" t="str">
        <f>IF(AND('Mapa final'!$Y$28="Alta",'Mapa final'!$AA$28="Catastrófico"),CONCATENATE("R8C",'Mapa final'!$O$28),"")</f>
        <v/>
      </c>
      <c r="AJ23" s="56" t="str">
        <f>IF(AND('Mapa final'!$Y$29="Alta",'Mapa final'!$AA$29="Catastrófico"),CONCATENATE("R8C",'Mapa final'!$O$29),"")</f>
        <v/>
      </c>
      <c r="AK23" s="56" t="str">
        <f>IF(AND('Mapa final'!$Y$30="Alta",'Mapa final'!$AA$30="Catastrófico"),CONCATENATE("R8C",'Mapa final'!$O$30),"")</f>
        <v/>
      </c>
      <c r="AL23" s="56" t="str">
        <f>IF(AND('Mapa final'!$Y$31="Alta",'Mapa final'!$AA$31="Catastrófico"),CONCATENATE("R8C",'Mapa final'!$O$31),"")</f>
        <v/>
      </c>
      <c r="AM23" s="57" t="str">
        <f>IF(AND('Mapa final'!$Y$32="Alta",'Mapa final'!$AA$32="Catastrófico"),CONCATENATE("R8C",'Mapa final'!$O$32),"")</f>
        <v/>
      </c>
      <c r="AN23" s="84"/>
      <c r="AO23" s="359"/>
      <c r="AP23" s="360"/>
      <c r="AQ23" s="360"/>
      <c r="AR23" s="360"/>
      <c r="AS23" s="360"/>
      <c r="AT23" s="36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308"/>
      <c r="C24" s="308"/>
      <c r="D24" s="309"/>
      <c r="E24" s="349"/>
      <c r="F24" s="350"/>
      <c r="G24" s="350"/>
      <c r="H24" s="350"/>
      <c r="I24" s="366"/>
      <c r="J24" s="68" t="str">
        <f>IF(AND('Mapa final'!$Y$33="Alta",'Mapa final'!$AA$33="Leve"),CONCATENATE("R9C",'Mapa final'!$O$33),"")</f>
        <v/>
      </c>
      <c r="K24" s="69" t="str">
        <f>IF(AND('Mapa final'!$Y$34="Alta",'Mapa final'!$AA$34="Leve"),CONCATENATE("R9C",'Mapa final'!$O$34),"")</f>
        <v/>
      </c>
      <c r="L24" s="69" t="str">
        <f>IF(AND('Mapa final'!$Y$35="Alta",'Mapa final'!$AA$35="Leve"),CONCATENATE("R9C",'Mapa final'!$O$35),"")</f>
        <v/>
      </c>
      <c r="M24" s="69" t="str">
        <f>IF(AND('Mapa final'!$Y$36="Alta",'Mapa final'!$AA$36="Leve"),CONCATENATE("R9C",'Mapa final'!$O$36),"")</f>
        <v/>
      </c>
      <c r="N24" s="69" t="str">
        <f>IF(AND('Mapa final'!$Y$37="Alta",'Mapa final'!$AA$37="Leve"),CONCATENATE("R9C",'Mapa final'!$O$37),"")</f>
        <v/>
      </c>
      <c r="O24" s="70" t="str">
        <f>IF(AND('Mapa final'!$Y$38="Alta",'Mapa final'!$AA$38="Leve"),CONCATENATE("R9C",'Mapa final'!$O$38),"")</f>
        <v/>
      </c>
      <c r="P24" s="68" t="str">
        <f>IF(AND('Mapa final'!$Y$33="Alta",'Mapa final'!$AA$33="Menor"),CONCATENATE("R9C",'Mapa final'!$O$33),"")</f>
        <v/>
      </c>
      <c r="Q24" s="69" t="str">
        <f>IF(AND('Mapa final'!$Y$34="Alta",'Mapa final'!$AA$34="Menor"),CONCATENATE("R9C",'Mapa final'!$O$34),"")</f>
        <v/>
      </c>
      <c r="R24" s="69" t="str">
        <f>IF(AND('Mapa final'!$Y$35="Alta",'Mapa final'!$AA$35="Menor"),CONCATENATE("R9C",'Mapa final'!$O$35),"")</f>
        <v/>
      </c>
      <c r="S24" s="69" t="str">
        <f>IF(AND('Mapa final'!$Y$36="Alta",'Mapa final'!$AA$36="Menor"),CONCATENATE("R9C",'Mapa final'!$O$36),"")</f>
        <v/>
      </c>
      <c r="T24" s="69" t="str">
        <f>IF(AND('Mapa final'!$Y$37="Alta",'Mapa final'!$AA$37="Menor"),CONCATENATE("R9C",'Mapa final'!$O$37),"")</f>
        <v/>
      </c>
      <c r="U24" s="70" t="str">
        <f>IF(AND('Mapa final'!$Y$38="Alta",'Mapa final'!$AA$38="Menor"),CONCATENATE("R9C",'Mapa final'!$O$38),"")</f>
        <v/>
      </c>
      <c r="V24" s="52" t="str">
        <f>IF(AND('Mapa final'!$Y$33="Alta",'Mapa final'!$AA$33="Moderado"),CONCATENATE("R9C",'Mapa final'!$O$33),"")</f>
        <v/>
      </c>
      <c r="W24" s="53" t="str">
        <f>IF(AND('Mapa final'!$Y$34="Alta",'Mapa final'!$AA$34="Moderado"),CONCATENATE("R9C",'Mapa final'!$O$34),"")</f>
        <v/>
      </c>
      <c r="X24" s="58" t="str">
        <f>IF(AND('Mapa final'!$Y$35="Alta",'Mapa final'!$AA$35="Moderado"),CONCATENATE("R9C",'Mapa final'!$O$35),"")</f>
        <v/>
      </c>
      <c r="Y24" s="58" t="str">
        <f>IF(AND('Mapa final'!$Y$36="Alta",'Mapa final'!$AA$36="Moderado"),CONCATENATE("R9C",'Mapa final'!$O$36),"")</f>
        <v/>
      </c>
      <c r="Z24" s="58" t="str">
        <f>IF(AND('Mapa final'!$Y$37="Alta",'Mapa final'!$AA$37="Moderado"),CONCATENATE("R9C",'Mapa final'!$O$37),"")</f>
        <v/>
      </c>
      <c r="AA24" s="54" t="str">
        <f>IF(AND('Mapa final'!$Y$38="Alta",'Mapa final'!$AA$38="Moderado"),CONCATENATE("R9C",'Mapa final'!$O$38),"")</f>
        <v/>
      </c>
      <c r="AB24" s="52" t="str">
        <f>IF(AND('Mapa final'!$Y$33="Alta",'Mapa final'!$AA$33="Mayor"),CONCATENATE("R9C",'Mapa final'!$O$33),"")</f>
        <v/>
      </c>
      <c r="AC24" s="53" t="str">
        <f>IF(AND('Mapa final'!$Y$34="Alta",'Mapa final'!$AA$34="Mayor"),CONCATENATE("R9C",'Mapa final'!$O$34),"")</f>
        <v/>
      </c>
      <c r="AD24" s="58" t="str">
        <f>IF(AND('Mapa final'!$Y$35="Alta",'Mapa final'!$AA$35="Mayor"),CONCATENATE("R9C",'Mapa final'!$O$35),"")</f>
        <v/>
      </c>
      <c r="AE24" s="58" t="str">
        <f>IF(AND('Mapa final'!$Y$36="Alta",'Mapa final'!$AA$36="Mayor"),CONCATENATE("R9C",'Mapa final'!$O$36),"")</f>
        <v/>
      </c>
      <c r="AF24" s="58" t="str">
        <f>IF(AND('Mapa final'!$Y$37="Alta",'Mapa final'!$AA$37="Mayor"),CONCATENATE("R9C",'Mapa final'!$O$37),"")</f>
        <v/>
      </c>
      <c r="AG24" s="54" t="str">
        <f>IF(AND('Mapa final'!$Y$38="Alta",'Mapa final'!$AA$38="Mayor"),CONCATENATE("R9C",'Mapa final'!$O$38),"")</f>
        <v/>
      </c>
      <c r="AH24" s="55" t="str">
        <f>IF(AND('Mapa final'!$Y$33="Alta",'Mapa final'!$AA$33="Catastrófico"),CONCATENATE("R9C",'Mapa final'!$O$33),"")</f>
        <v/>
      </c>
      <c r="AI24" s="56" t="str">
        <f>IF(AND('Mapa final'!$Y$34="Alta",'Mapa final'!$AA$34="Catastrófico"),CONCATENATE("R9C",'Mapa final'!$O$34),"")</f>
        <v/>
      </c>
      <c r="AJ24" s="56" t="str">
        <f>IF(AND('Mapa final'!$Y$35="Alta",'Mapa final'!$AA$35="Catastrófico"),CONCATENATE("R9C",'Mapa final'!$O$35),"")</f>
        <v/>
      </c>
      <c r="AK24" s="56" t="str">
        <f>IF(AND('Mapa final'!$Y$36="Alta",'Mapa final'!$AA$36="Catastrófico"),CONCATENATE("R9C",'Mapa final'!$O$36),"")</f>
        <v/>
      </c>
      <c r="AL24" s="56" t="str">
        <f>IF(AND('Mapa final'!$Y$37="Alta",'Mapa final'!$AA$37="Catastrófico"),CONCATENATE("R9C",'Mapa final'!$O$37),"")</f>
        <v/>
      </c>
      <c r="AM24" s="57" t="str">
        <f>IF(AND('Mapa final'!$Y$38="Alta",'Mapa final'!$AA$38="Catastrófico"),CONCATENATE("R9C",'Mapa final'!$O$38),"")</f>
        <v/>
      </c>
      <c r="AN24" s="84"/>
      <c r="AO24" s="359"/>
      <c r="AP24" s="360"/>
      <c r="AQ24" s="360"/>
      <c r="AR24" s="360"/>
      <c r="AS24" s="360"/>
      <c r="AT24" s="36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308"/>
      <c r="C25" s="308"/>
      <c r="D25" s="309"/>
      <c r="E25" s="352"/>
      <c r="F25" s="353"/>
      <c r="G25" s="353"/>
      <c r="H25" s="353"/>
      <c r="I25" s="353"/>
      <c r="J25" s="71" t="str">
        <f>IF(AND('Mapa final'!$Y$39="Alta",'Mapa final'!$AA$39="Leve"),CONCATENATE("R10C",'Mapa final'!$O$39),"")</f>
        <v/>
      </c>
      <c r="K25" s="72" t="str">
        <f>IF(AND('Mapa final'!$Y$40="Alta",'Mapa final'!$AA$40="Leve"),CONCATENATE("R10C",'Mapa final'!$O$40),"")</f>
        <v/>
      </c>
      <c r="L25" s="72" t="str">
        <f>IF(AND('Mapa final'!$Y$41="Alta",'Mapa final'!$AA$41="Leve"),CONCATENATE("R10C",'Mapa final'!$O$41),"")</f>
        <v/>
      </c>
      <c r="M25" s="72" t="str">
        <f>IF(AND('Mapa final'!$Y$42="Alta",'Mapa final'!$AA$42="Leve"),CONCATENATE("R10C",'Mapa final'!$O$42),"")</f>
        <v/>
      </c>
      <c r="N25" s="72" t="str">
        <f>IF(AND('Mapa final'!$Y$43="Alta",'Mapa final'!$AA$43="Leve"),CONCATENATE("R10C",'Mapa final'!$O$43),"")</f>
        <v/>
      </c>
      <c r="O25" s="73" t="str">
        <f>IF(AND('Mapa final'!$Y$44="Alta",'Mapa final'!$AA$44="Leve"),CONCATENATE("R10C",'Mapa final'!$O$44),"")</f>
        <v/>
      </c>
      <c r="P25" s="71" t="str">
        <f>IF(AND('Mapa final'!$Y$39="Alta",'Mapa final'!$AA$39="Menor"),CONCATENATE("R10C",'Mapa final'!$O$39),"")</f>
        <v/>
      </c>
      <c r="Q25" s="72" t="str">
        <f>IF(AND('Mapa final'!$Y$40="Alta",'Mapa final'!$AA$40="Menor"),CONCATENATE("R10C",'Mapa final'!$O$40),"")</f>
        <v/>
      </c>
      <c r="R25" s="72" t="str">
        <f>IF(AND('Mapa final'!$Y$41="Alta",'Mapa final'!$AA$41="Menor"),CONCATENATE("R10C",'Mapa final'!$O$41),"")</f>
        <v/>
      </c>
      <c r="S25" s="72" t="str">
        <f>IF(AND('Mapa final'!$Y$42="Alta",'Mapa final'!$AA$42="Menor"),CONCATENATE("R10C",'Mapa final'!$O$42),"")</f>
        <v/>
      </c>
      <c r="T25" s="72" t="str">
        <f>IF(AND('Mapa final'!$Y$43="Alta",'Mapa final'!$AA$43="Menor"),CONCATENATE("R10C",'Mapa final'!$O$43),"")</f>
        <v/>
      </c>
      <c r="U25" s="73" t="str">
        <f>IF(AND('Mapa final'!$Y$44="Alta",'Mapa final'!$AA$44="Menor"),CONCATENATE("R10C",'Mapa final'!$O$44),"")</f>
        <v/>
      </c>
      <c r="V25" s="59" t="str">
        <f>IF(AND('Mapa final'!$Y$39="Alta",'Mapa final'!$AA$39="Moderado"),CONCATENATE("R10C",'Mapa final'!$O$39),"")</f>
        <v/>
      </c>
      <c r="W25" s="60" t="str">
        <f>IF(AND('Mapa final'!$Y$40="Alta",'Mapa final'!$AA$40="Moderado"),CONCATENATE("R10C",'Mapa final'!$O$40),"")</f>
        <v/>
      </c>
      <c r="X25" s="60" t="str">
        <f>IF(AND('Mapa final'!$Y$41="Alta",'Mapa final'!$AA$41="Moderado"),CONCATENATE("R10C",'Mapa final'!$O$41),"")</f>
        <v/>
      </c>
      <c r="Y25" s="60" t="str">
        <f>IF(AND('Mapa final'!$Y$42="Alta",'Mapa final'!$AA$42="Moderado"),CONCATENATE("R10C",'Mapa final'!$O$42),"")</f>
        <v/>
      </c>
      <c r="Z25" s="60" t="str">
        <f>IF(AND('Mapa final'!$Y$43="Alta",'Mapa final'!$AA$43="Moderado"),CONCATENATE("R10C",'Mapa final'!$O$43),"")</f>
        <v/>
      </c>
      <c r="AA25" s="61" t="str">
        <f>IF(AND('Mapa final'!$Y$44="Alta",'Mapa final'!$AA$44="Moderado"),CONCATENATE("R10C",'Mapa final'!$O$44),"")</f>
        <v/>
      </c>
      <c r="AB25" s="59" t="str">
        <f>IF(AND('Mapa final'!$Y$39="Alta",'Mapa final'!$AA$39="Mayor"),CONCATENATE("R10C",'Mapa final'!$O$39),"")</f>
        <v/>
      </c>
      <c r="AC25" s="60" t="str">
        <f>IF(AND('Mapa final'!$Y$40="Alta",'Mapa final'!$AA$40="Mayor"),CONCATENATE("R10C",'Mapa final'!$O$40),"")</f>
        <v/>
      </c>
      <c r="AD25" s="60" t="str">
        <f>IF(AND('Mapa final'!$Y$41="Alta",'Mapa final'!$AA$41="Mayor"),CONCATENATE("R10C",'Mapa final'!$O$41),"")</f>
        <v/>
      </c>
      <c r="AE25" s="60" t="str">
        <f>IF(AND('Mapa final'!$Y$42="Alta",'Mapa final'!$AA$42="Mayor"),CONCATENATE("R10C",'Mapa final'!$O$42),"")</f>
        <v/>
      </c>
      <c r="AF25" s="60" t="str">
        <f>IF(AND('Mapa final'!$Y$43="Alta",'Mapa final'!$AA$43="Mayor"),CONCATENATE("R10C",'Mapa final'!$O$43),"")</f>
        <v/>
      </c>
      <c r="AG25" s="61" t="str">
        <f>IF(AND('Mapa final'!$Y$44="Alta",'Mapa final'!$AA$44="Mayor"),CONCATENATE("R10C",'Mapa final'!$O$44),"")</f>
        <v/>
      </c>
      <c r="AH25" s="62" t="str">
        <f>IF(AND('Mapa final'!$Y$39="Alta",'Mapa final'!$AA$39="Catastrófico"),CONCATENATE("R10C",'Mapa final'!$O$39),"")</f>
        <v/>
      </c>
      <c r="AI25" s="63" t="str">
        <f>IF(AND('Mapa final'!$Y$40="Alta",'Mapa final'!$AA$40="Catastrófico"),CONCATENATE("R10C",'Mapa final'!$O$40),"")</f>
        <v/>
      </c>
      <c r="AJ25" s="63" t="str">
        <f>IF(AND('Mapa final'!$Y$41="Alta",'Mapa final'!$AA$41="Catastrófico"),CONCATENATE("R10C",'Mapa final'!$O$41),"")</f>
        <v/>
      </c>
      <c r="AK25" s="63" t="str">
        <f>IF(AND('Mapa final'!$Y$42="Alta",'Mapa final'!$AA$42="Catastrófico"),CONCATENATE("R10C",'Mapa final'!$O$42),"")</f>
        <v/>
      </c>
      <c r="AL25" s="63" t="str">
        <f>IF(AND('Mapa final'!$Y$43="Alta",'Mapa final'!$AA$43="Catastrófico"),CONCATENATE("R10C",'Mapa final'!$O$43),"")</f>
        <v/>
      </c>
      <c r="AM25" s="64" t="str">
        <f>IF(AND('Mapa final'!$Y$44="Alta",'Mapa final'!$AA$44="Catastrófico"),CONCATENATE("R10C",'Mapa final'!$O$44),"")</f>
        <v/>
      </c>
      <c r="AN25" s="84"/>
      <c r="AO25" s="362"/>
      <c r="AP25" s="363"/>
      <c r="AQ25" s="363"/>
      <c r="AR25" s="363"/>
      <c r="AS25" s="363"/>
      <c r="AT25" s="36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308"/>
      <c r="C26" s="308"/>
      <c r="D26" s="309"/>
      <c r="E26" s="346" t="s">
        <v>117</v>
      </c>
      <c r="F26" s="347"/>
      <c r="G26" s="347"/>
      <c r="H26" s="347"/>
      <c r="I26" s="348"/>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87" t="s">
        <v>81</v>
      </c>
      <c r="AP26" s="388"/>
      <c r="AQ26" s="388"/>
      <c r="AR26" s="388"/>
      <c r="AS26" s="388"/>
      <c r="AT26" s="38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308"/>
      <c r="C27" s="308"/>
      <c r="D27" s="309"/>
      <c r="E27" s="365"/>
      <c r="F27" s="366"/>
      <c r="G27" s="366"/>
      <c r="H27" s="366"/>
      <c r="I27" s="351"/>
      <c r="J27" s="68" t="str">
        <f>IF(AND('Mapa final'!$Y$11="Media",'Mapa final'!$AA$11="Leve"),CONCATENATE("R2C",'Mapa final'!$O$11),"")</f>
        <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final'!$Y$11="Media",'Mapa final'!$AA$11="Menor"),CONCATENATE("R2C",'Mapa final'!$O$11),"")</f>
        <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final'!$Y$11="Media",'Mapa final'!$AA$11="Moderado"),CONCATENATE("R2C",'Mapa final'!$O$11),"")</f>
        <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390"/>
      <c r="AP27" s="391"/>
      <c r="AQ27" s="391"/>
      <c r="AR27" s="391"/>
      <c r="AS27" s="391"/>
      <c r="AT27" s="39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308"/>
      <c r="C28" s="308"/>
      <c r="D28" s="309"/>
      <c r="E28" s="349"/>
      <c r="F28" s="350"/>
      <c r="G28" s="350"/>
      <c r="H28" s="350"/>
      <c r="I28" s="351"/>
      <c r="J28" s="68" t="str">
        <f>IF(AND('Mapa final'!$Y$12="Media",'Mapa final'!$AA$12="Leve"),CONCATENATE("R3C",'Mapa final'!$O$12),"")</f>
        <v/>
      </c>
      <c r="K28" s="69" t="e">
        <f>IF(AND('Mapa final'!#REF!="Media",'Mapa final'!#REF!="Leve"),CONCATENATE("R3C",'Mapa final'!#REF!),"")</f>
        <v>#REF!</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str">
        <f>IF(AND('Mapa final'!$Y$12="Media",'Mapa final'!$AA$12="Menor"),CONCATENATE("R3C",'Mapa final'!$O$12),"")</f>
        <v/>
      </c>
      <c r="Q28" s="69" t="e">
        <f>IF(AND('Mapa final'!#REF!="Media",'Mapa final'!#REF!="Menor"),CONCATENATE("R3C",'Mapa final'!#REF!),"")</f>
        <v>#REF!</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str">
        <f>IF(AND('Mapa final'!$Y$12="Media",'Mapa final'!$AA$12="Moderado"),CONCATENATE("R3C",'Mapa final'!$O$12),"")</f>
        <v/>
      </c>
      <c r="W28" s="69" t="e">
        <f>IF(AND('Mapa final'!#REF!="Media",'Mapa final'!#REF!="Moderado"),CONCATENATE("R3C",'Mapa final'!#REF!),"")</f>
        <v>#REF!</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str">
        <f>IF(AND('Mapa final'!$Y$12="Media",'Mapa final'!$AA$12="Mayor"),CONCATENATE("R3C",'Mapa final'!$O$12),"")</f>
        <v>R3C1</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390"/>
      <c r="AP28" s="391"/>
      <c r="AQ28" s="391"/>
      <c r="AR28" s="391"/>
      <c r="AS28" s="391"/>
      <c r="AT28" s="39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308"/>
      <c r="C29" s="308"/>
      <c r="D29" s="309"/>
      <c r="E29" s="349"/>
      <c r="F29" s="350"/>
      <c r="G29" s="350"/>
      <c r="H29" s="350"/>
      <c r="I29" s="351"/>
      <c r="J29" s="68" t="str">
        <f>IF(AND('Mapa final'!$Y$13="Media",'Mapa final'!$AA$13="Leve"),CONCATENATE("R4C",'Mapa final'!$O$13),"")</f>
        <v/>
      </c>
      <c r="K29" s="69" t="e">
        <f>IF(AND('Mapa final'!#REF!="Media",'Mapa final'!#REF!="Leve"),CONCATENATE("R4C",'Mapa final'!#REF!),"")</f>
        <v>#REF!</v>
      </c>
      <c r="L29" s="69" t="e">
        <f>IF(AND('Mapa final'!#REF!="Media",'Mapa final'!#REF!="Leve"),CONCATENATE("R4C",'Mapa final'!#REF!),"")</f>
        <v>#REF!</v>
      </c>
      <c r="M29" s="69" t="e">
        <f>IF(AND('Mapa final'!#REF!="Media",'Mapa final'!#REF!="Leve"),CONCATENATE("R4C",'Mapa final'!#REF!),"")</f>
        <v>#REF!</v>
      </c>
      <c r="N29" s="69" t="e">
        <f>IF(AND('Mapa final'!#REF!="Media",'Mapa final'!#REF!="Leve"),CONCATENATE("R4C",'Mapa final'!#REF!),"")</f>
        <v>#REF!</v>
      </c>
      <c r="O29" s="70" t="e">
        <f>IF(AND('Mapa final'!#REF!="Media",'Mapa final'!#REF!="Leve"),CONCATENATE("R4C",'Mapa final'!#REF!),"")</f>
        <v>#REF!</v>
      </c>
      <c r="P29" s="68" t="str">
        <f>IF(AND('Mapa final'!$Y$13="Media",'Mapa final'!$AA$13="Menor"),CONCATENATE("R4C",'Mapa final'!$O$13),"")</f>
        <v/>
      </c>
      <c r="Q29" s="69" t="e">
        <f>IF(AND('Mapa final'!#REF!="Media",'Mapa final'!#REF!="Menor"),CONCATENATE("R4C",'Mapa final'!#REF!),"")</f>
        <v>#REF!</v>
      </c>
      <c r="R29" s="69" t="e">
        <f>IF(AND('Mapa final'!#REF!="Media",'Mapa final'!#REF!="Menor"),CONCATENATE("R4C",'Mapa final'!#REF!),"")</f>
        <v>#REF!</v>
      </c>
      <c r="S29" s="69" t="e">
        <f>IF(AND('Mapa final'!#REF!="Media",'Mapa final'!#REF!="Menor"),CONCATENATE("R4C",'Mapa final'!#REF!),"")</f>
        <v>#REF!</v>
      </c>
      <c r="T29" s="69" t="e">
        <f>IF(AND('Mapa final'!#REF!="Media",'Mapa final'!#REF!="Menor"),CONCATENATE("R4C",'Mapa final'!#REF!),"")</f>
        <v>#REF!</v>
      </c>
      <c r="U29" s="70" t="e">
        <f>IF(AND('Mapa final'!#REF!="Media",'Mapa final'!#REF!="Menor"),CONCATENATE("R4C",'Mapa final'!#REF!),"")</f>
        <v>#REF!</v>
      </c>
      <c r="V29" s="68" t="str">
        <f>IF(AND('Mapa final'!$Y$13="Media",'Mapa final'!$AA$13="Moderado"),CONCATENATE("R4C",'Mapa final'!$O$13),"")</f>
        <v/>
      </c>
      <c r="W29" s="69" t="e">
        <f>IF(AND('Mapa final'!#REF!="Media",'Mapa final'!#REF!="Moderado"),CONCATENATE("R4C",'Mapa final'!#REF!),"")</f>
        <v>#REF!</v>
      </c>
      <c r="X29" s="69" t="e">
        <f>IF(AND('Mapa final'!#REF!="Media",'Mapa final'!#REF!="Moderado"),CONCATENATE("R4C",'Mapa final'!#REF!),"")</f>
        <v>#REF!</v>
      </c>
      <c r="Y29" s="69" t="e">
        <f>IF(AND('Mapa final'!#REF!="Media",'Mapa final'!#REF!="Moderado"),CONCATENATE("R4C",'Mapa final'!#REF!),"")</f>
        <v>#REF!</v>
      </c>
      <c r="Z29" s="69" t="e">
        <f>IF(AND('Mapa final'!#REF!="Media",'Mapa final'!#REF!="Moderado"),CONCATENATE("R4C",'Mapa final'!#REF!),"")</f>
        <v>#REF!</v>
      </c>
      <c r="AA29" s="70"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8" t="e">
        <f>IF(AND('Mapa final'!#REF!="Media",'Mapa final'!#REF!="Mayor"),CONCATENATE("R4C",'Mapa final'!#REF!),"")</f>
        <v>#REF!</v>
      </c>
      <c r="AE29" s="58" t="e">
        <f>IF(AND('Mapa final'!#REF!="Media",'Mapa final'!#REF!="Mayor"),CONCATENATE("R4C",'Mapa final'!#REF!),"")</f>
        <v>#REF!</v>
      </c>
      <c r="AF29" s="58"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4"/>
      <c r="AO29" s="390"/>
      <c r="AP29" s="391"/>
      <c r="AQ29" s="391"/>
      <c r="AR29" s="391"/>
      <c r="AS29" s="391"/>
      <c r="AT29" s="39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308"/>
      <c r="C30" s="308"/>
      <c r="D30" s="309"/>
      <c r="E30" s="349"/>
      <c r="F30" s="350"/>
      <c r="G30" s="350"/>
      <c r="H30" s="350"/>
      <c r="I30" s="351"/>
      <c r="J30" s="68" t="str">
        <f>IF(AND('Mapa final'!$Y$14="Media",'Mapa final'!$AA$14="Leve"),CONCATENATE("R5C",'Mapa final'!$O$14),"")</f>
        <v/>
      </c>
      <c r="K30" s="69" t="e">
        <f>IF(AND('Mapa final'!#REF!="Media",'Mapa final'!#REF!="Leve"),CONCATENATE("R5C",'Mapa final'!#REF!),"")</f>
        <v>#REF!</v>
      </c>
      <c r="L30" s="69" t="e">
        <f>IF(AND('Mapa final'!#REF!="Media",'Mapa final'!#REF!="Leve"),CONCATENATE("R5C",'Mapa final'!#REF!),"")</f>
        <v>#REF!</v>
      </c>
      <c r="M30" s="69" t="e">
        <f>IF(AND('Mapa final'!#REF!="Media",'Mapa final'!#REF!="Leve"),CONCATENATE("R5C",'Mapa final'!#REF!),"")</f>
        <v>#REF!</v>
      </c>
      <c r="N30" s="69" t="e">
        <f>IF(AND('Mapa final'!#REF!="Media",'Mapa final'!#REF!="Leve"),CONCATENATE("R5C",'Mapa final'!#REF!),"")</f>
        <v>#REF!</v>
      </c>
      <c r="O30" s="70" t="e">
        <f>IF(AND('Mapa final'!#REF!="Media",'Mapa final'!#REF!="Leve"),CONCATENATE("R5C",'Mapa final'!#REF!),"")</f>
        <v>#REF!</v>
      </c>
      <c r="P30" s="68" t="str">
        <f>IF(AND('Mapa final'!$Y$14="Media",'Mapa final'!$AA$14="Menor"),CONCATENATE("R5C",'Mapa final'!$O$14),"")</f>
        <v/>
      </c>
      <c r="Q30" s="69" t="e">
        <f>IF(AND('Mapa final'!#REF!="Media",'Mapa final'!#REF!="Menor"),CONCATENATE("R5C",'Mapa final'!#REF!),"")</f>
        <v>#REF!</v>
      </c>
      <c r="R30" s="69" t="e">
        <f>IF(AND('Mapa final'!#REF!="Media",'Mapa final'!#REF!="Menor"),CONCATENATE("R5C",'Mapa final'!#REF!),"")</f>
        <v>#REF!</v>
      </c>
      <c r="S30" s="69" t="e">
        <f>IF(AND('Mapa final'!#REF!="Media",'Mapa final'!#REF!="Menor"),CONCATENATE("R5C",'Mapa final'!#REF!),"")</f>
        <v>#REF!</v>
      </c>
      <c r="T30" s="69" t="e">
        <f>IF(AND('Mapa final'!#REF!="Media",'Mapa final'!#REF!="Menor"),CONCATENATE("R5C",'Mapa final'!#REF!),"")</f>
        <v>#REF!</v>
      </c>
      <c r="U30" s="70" t="e">
        <f>IF(AND('Mapa final'!#REF!="Media",'Mapa final'!#REF!="Menor"),CONCATENATE("R5C",'Mapa final'!#REF!),"")</f>
        <v>#REF!</v>
      </c>
      <c r="V30" s="68" t="str">
        <f>IF(AND('Mapa final'!$Y$14="Media",'Mapa final'!$AA$14="Moderado"),CONCATENATE("R5C",'Mapa final'!$O$14),"")</f>
        <v/>
      </c>
      <c r="W30" s="69" t="e">
        <f>IF(AND('Mapa final'!#REF!="Media",'Mapa final'!#REF!="Moderado"),CONCATENATE("R5C",'Mapa final'!#REF!),"")</f>
        <v>#REF!</v>
      </c>
      <c r="X30" s="69" t="e">
        <f>IF(AND('Mapa final'!#REF!="Media",'Mapa final'!#REF!="Moderado"),CONCATENATE("R5C",'Mapa final'!#REF!),"")</f>
        <v>#REF!</v>
      </c>
      <c r="Y30" s="69" t="e">
        <f>IF(AND('Mapa final'!#REF!="Media",'Mapa final'!#REF!="Moderado"),CONCATENATE("R5C",'Mapa final'!#REF!),"")</f>
        <v>#REF!</v>
      </c>
      <c r="Z30" s="69" t="e">
        <f>IF(AND('Mapa final'!#REF!="Media",'Mapa final'!#REF!="Moderado"),CONCATENATE("R5C",'Mapa final'!#REF!),"")</f>
        <v>#REF!</v>
      </c>
      <c r="AA30" s="70"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8" t="e">
        <f>IF(AND('Mapa final'!#REF!="Media",'Mapa final'!#REF!="Mayor"),CONCATENATE("R5C",'Mapa final'!#REF!),"")</f>
        <v>#REF!</v>
      </c>
      <c r="AE30" s="58" t="e">
        <f>IF(AND('Mapa final'!#REF!="Media",'Mapa final'!#REF!="Mayor"),CONCATENATE("R5C",'Mapa final'!#REF!),"")</f>
        <v>#REF!</v>
      </c>
      <c r="AF30" s="58"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4"/>
      <c r="AO30" s="390"/>
      <c r="AP30" s="391"/>
      <c r="AQ30" s="391"/>
      <c r="AR30" s="391"/>
      <c r="AS30" s="391"/>
      <c r="AT30" s="39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308"/>
      <c r="C31" s="308"/>
      <c r="D31" s="309"/>
      <c r="E31" s="349"/>
      <c r="F31" s="350"/>
      <c r="G31" s="350"/>
      <c r="H31" s="350"/>
      <c r="I31" s="351"/>
      <c r="J31" s="68" t="str">
        <f>IF(AND('Mapa final'!$Y$15="Media",'Mapa final'!$AA$15="Leve"),CONCATENATE("R6C",'Mapa final'!$O$15),"")</f>
        <v/>
      </c>
      <c r="K31" s="69" t="str">
        <f>IF(AND('Mapa final'!$Y$16="Media",'Mapa final'!$AA$16="Leve"),CONCATENATE("R6C",'Mapa final'!$O$16),"")</f>
        <v/>
      </c>
      <c r="L31" s="69" t="str">
        <f>IF(AND('Mapa final'!$Y$17="Media",'Mapa final'!$AA$17="Leve"),CONCATENATE("R6C",'Mapa final'!$O$17),"")</f>
        <v/>
      </c>
      <c r="M31" s="69" t="str">
        <f>IF(AND('Mapa final'!$Y$18="Media",'Mapa final'!$AA$18="Leve"),CONCATENATE("R6C",'Mapa final'!$O$18),"")</f>
        <v/>
      </c>
      <c r="N31" s="69" t="str">
        <f>IF(AND('Mapa final'!$Y$19="Media",'Mapa final'!$AA$19="Leve"),CONCATENATE("R6C",'Mapa final'!$O$19),"")</f>
        <v/>
      </c>
      <c r="O31" s="70" t="str">
        <f>IF(AND('Mapa final'!$Y$20="Media",'Mapa final'!$AA$20="Leve"),CONCATENATE("R6C",'Mapa final'!$O$20),"")</f>
        <v/>
      </c>
      <c r="P31" s="68" t="str">
        <f>IF(AND('Mapa final'!$Y$15="Media",'Mapa final'!$AA$15="Menor"),CONCATENATE("R6C",'Mapa final'!$O$15),"")</f>
        <v/>
      </c>
      <c r="Q31" s="69" t="str">
        <f>IF(AND('Mapa final'!$Y$16="Media",'Mapa final'!$AA$16="Menor"),CONCATENATE("R6C",'Mapa final'!$O$16),"")</f>
        <v/>
      </c>
      <c r="R31" s="69" t="str">
        <f>IF(AND('Mapa final'!$Y$17="Media",'Mapa final'!$AA$17="Menor"),CONCATENATE("R6C",'Mapa final'!$O$17),"")</f>
        <v/>
      </c>
      <c r="S31" s="69" t="str">
        <f>IF(AND('Mapa final'!$Y$18="Media",'Mapa final'!$AA$18="Menor"),CONCATENATE("R6C",'Mapa final'!$O$18),"")</f>
        <v/>
      </c>
      <c r="T31" s="69" t="str">
        <f>IF(AND('Mapa final'!$Y$19="Media",'Mapa final'!$AA$19="Menor"),CONCATENATE("R6C",'Mapa final'!$O$19),"")</f>
        <v/>
      </c>
      <c r="U31" s="70" t="str">
        <f>IF(AND('Mapa final'!$Y$20="Media",'Mapa final'!$AA$20="Menor"),CONCATENATE("R6C",'Mapa final'!$O$20),"")</f>
        <v/>
      </c>
      <c r="V31" s="68" t="str">
        <f>IF(AND('Mapa final'!$Y$15="Media",'Mapa final'!$AA$15="Moderado"),CONCATENATE("R6C",'Mapa final'!$O$15),"")</f>
        <v/>
      </c>
      <c r="W31" s="69" t="str">
        <f>IF(AND('Mapa final'!$Y$16="Media",'Mapa final'!$AA$16="Moderado"),CONCATENATE("R6C",'Mapa final'!$O$16),"")</f>
        <v/>
      </c>
      <c r="X31" s="69" t="str">
        <f>IF(AND('Mapa final'!$Y$17="Media",'Mapa final'!$AA$17="Moderado"),CONCATENATE("R6C",'Mapa final'!$O$17),"")</f>
        <v/>
      </c>
      <c r="Y31" s="69" t="str">
        <f>IF(AND('Mapa final'!$Y$18="Media",'Mapa final'!$AA$18="Moderado"),CONCATENATE("R6C",'Mapa final'!$O$18),"")</f>
        <v/>
      </c>
      <c r="Z31" s="69" t="str">
        <f>IF(AND('Mapa final'!$Y$19="Media",'Mapa final'!$AA$19="Moderado"),CONCATENATE("R6C",'Mapa final'!$O$19),"")</f>
        <v/>
      </c>
      <c r="AA31" s="70" t="str">
        <f>IF(AND('Mapa final'!$Y$20="Media",'Mapa final'!$AA$20="Moderado"),CONCATENATE("R6C",'Mapa final'!$O$20),"")</f>
        <v/>
      </c>
      <c r="AB31" s="52" t="str">
        <f>IF(AND('Mapa final'!$Y$15="Media",'Mapa final'!$AA$15="Mayor"),CONCATENATE("R6C",'Mapa final'!$O$15),"")</f>
        <v/>
      </c>
      <c r="AC31" s="53" t="str">
        <f>IF(AND('Mapa final'!$Y$16="Media",'Mapa final'!$AA$16="Mayor"),CONCATENATE("R6C",'Mapa final'!$O$16),"")</f>
        <v/>
      </c>
      <c r="AD31" s="58" t="str">
        <f>IF(AND('Mapa final'!$Y$17="Media",'Mapa final'!$AA$17="Mayor"),CONCATENATE("R6C",'Mapa final'!$O$17),"")</f>
        <v/>
      </c>
      <c r="AE31" s="58" t="str">
        <f>IF(AND('Mapa final'!$Y$18="Media",'Mapa final'!$AA$18="Mayor"),CONCATENATE("R6C",'Mapa final'!$O$18),"")</f>
        <v/>
      </c>
      <c r="AF31" s="58" t="str">
        <f>IF(AND('Mapa final'!$Y$19="Media",'Mapa final'!$AA$19="Mayor"),CONCATENATE("R6C",'Mapa final'!$O$19),"")</f>
        <v/>
      </c>
      <c r="AG31" s="54" t="str">
        <f>IF(AND('Mapa final'!$Y$20="Media",'Mapa final'!$AA$20="Mayor"),CONCATENATE("R6C",'Mapa final'!$O$20),"")</f>
        <v/>
      </c>
      <c r="AH31" s="55" t="str">
        <f>IF(AND('Mapa final'!$Y$15="Media",'Mapa final'!$AA$15="Catastrófico"),CONCATENATE("R6C",'Mapa final'!$O$15),"")</f>
        <v/>
      </c>
      <c r="AI31" s="56" t="str">
        <f>IF(AND('Mapa final'!$Y$16="Media",'Mapa final'!$AA$16="Catastrófico"),CONCATENATE("R6C",'Mapa final'!$O$16),"")</f>
        <v/>
      </c>
      <c r="AJ31" s="56" t="str">
        <f>IF(AND('Mapa final'!$Y$17="Media",'Mapa final'!$AA$17="Catastrófico"),CONCATENATE("R6C",'Mapa final'!$O$17),"")</f>
        <v/>
      </c>
      <c r="AK31" s="56" t="str">
        <f>IF(AND('Mapa final'!$Y$18="Media",'Mapa final'!$AA$18="Catastrófico"),CONCATENATE("R6C",'Mapa final'!$O$18),"")</f>
        <v/>
      </c>
      <c r="AL31" s="56" t="str">
        <f>IF(AND('Mapa final'!$Y$19="Media",'Mapa final'!$AA$19="Catastrófico"),CONCATENATE("R6C",'Mapa final'!$O$19),"")</f>
        <v/>
      </c>
      <c r="AM31" s="57" t="str">
        <f>IF(AND('Mapa final'!$Y$20="Media",'Mapa final'!$AA$20="Catastrófico"),CONCATENATE("R6C",'Mapa final'!$O$20),"")</f>
        <v/>
      </c>
      <c r="AN31" s="84"/>
      <c r="AO31" s="390"/>
      <c r="AP31" s="391"/>
      <c r="AQ31" s="391"/>
      <c r="AR31" s="391"/>
      <c r="AS31" s="391"/>
      <c r="AT31" s="39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308"/>
      <c r="C32" s="308"/>
      <c r="D32" s="309"/>
      <c r="E32" s="349"/>
      <c r="F32" s="350"/>
      <c r="G32" s="350"/>
      <c r="H32" s="350"/>
      <c r="I32" s="351"/>
      <c r="J32" s="68" t="str">
        <f>IF(AND('Mapa final'!$Y$21="Media",'Mapa final'!$AA$21="Leve"),CONCATENATE("R7C",'Mapa final'!$O$21),"")</f>
        <v/>
      </c>
      <c r="K32" s="69" t="str">
        <f>IF(AND('Mapa final'!$Y$22="Media",'Mapa final'!$AA$22="Leve"),CONCATENATE("R7C",'Mapa final'!$O$22),"")</f>
        <v/>
      </c>
      <c r="L32" s="69" t="str">
        <f>IF(AND('Mapa final'!$Y$23="Media",'Mapa final'!$AA$23="Leve"),CONCATENATE("R7C",'Mapa final'!$O$23),"")</f>
        <v/>
      </c>
      <c r="M32" s="69" t="str">
        <f>IF(AND('Mapa final'!$Y$24="Media",'Mapa final'!$AA$24="Leve"),CONCATENATE("R7C",'Mapa final'!$O$24),"")</f>
        <v/>
      </c>
      <c r="N32" s="69" t="str">
        <f>IF(AND('Mapa final'!$Y$25="Media",'Mapa final'!$AA$25="Leve"),CONCATENATE("R7C",'Mapa final'!$O$25),"")</f>
        <v/>
      </c>
      <c r="O32" s="70" t="str">
        <f>IF(AND('Mapa final'!$Y$26="Media",'Mapa final'!$AA$26="Leve"),CONCATENATE("R7C",'Mapa final'!$O$26),"")</f>
        <v/>
      </c>
      <c r="P32" s="68" t="str">
        <f>IF(AND('Mapa final'!$Y$21="Media",'Mapa final'!$AA$21="Menor"),CONCATENATE("R7C",'Mapa final'!$O$21),"")</f>
        <v/>
      </c>
      <c r="Q32" s="69" t="str">
        <f>IF(AND('Mapa final'!$Y$22="Media",'Mapa final'!$AA$22="Menor"),CONCATENATE("R7C",'Mapa final'!$O$22),"")</f>
        <v/>
      </c>
      <c r="R32" s="69" t="str">
        <f>IF(AND('Mapa final'!$Y$23="Media",'Mapa final'!$AA$23="Menor"),CONCATENATE("R7C",'Mapa final'!$O$23),"")</f>
        <v/>
      </c>
      <c r="S32" s="69" t="str">
        <f>IF(AND('Mapa final'!$Y$24="Media",'Mapa final'!$AA$24="Menor"),CONCATENATE("R7C",'Mapa final'!$O$24),"")</f>
        <v/>
      </c>
      <c r="T32" s="69" t="str">
        <f>IF(AND('Mapa final'!$Y$25="Media",'Mapa final'!$AA$25="Menor"),CONCATENATE("R7C",'Mapa final'!$O$25),"")</f>
        <v/>
      </c>
      <c r="U32" s="70" t="str">
        <f>IF(AND('Mapa final'!$Y$26="Media",'Mapa final'!$AA$26="Menor"),CONCATENATE("R7C",'Mapa final'!$O$26),"")</f>
        <v/>
      </c>
      <c r="V32" s="68" t="str">
        <f>IF(AND('Mapa final'!$Y$21="Media",'Mapa final'!$AA$21="Moderado"),CONCATENATE("R7C",'Mapa final'!$O$21),"")</f>
        <v/>
      </c>
      <c r="W32" s="69" t="str">
        <f>IF(AND('Mapa final'!$Y$22="Media",'Mapa final'!$AA$22="Moderado"),CONCATENATE("R7C",'Mapa final'!$O$22),"")</f>
        <v/>
      </c>
      <c r="X32" s="69" t="str">
        <f>IF(AND('Mapa final'!$Y$23="Media",'Mapa final'!$AA$23="Moderado"),CONCATENATE("R7C",'Mapa final'!$O$23),"")</f>
        <v/>
      </c>
      <c r="Y32" s="69" t="str">
        <f>IF(AND('Mapa final'!$Y$24="Media",'Mapa final'!$AA$24="Moderado"),CONCATENATE("R7C",'Mapa final'!$O$24),"")</f>
        <v/>
      </c>
      <c r="Z32" s="69" t="str">
        <f>IF(AND('Mapa final'!$Y$25="Media",'Mapa final'!$AA$25="Moderado"),CONCATENATE("R7C",'Mapa final'!$O$25),"")</f>
        <v/>
      </c>
      <c r="AA32" s="70" t="str">
        <f>IF(AND('Mapa final'!$Y$26="Media",'Mapa final'!$AA$26="Moderado"),CONCATENATE("R7C",'Mapa final'!$O$26),"")</f>
        <v/>
      </c>
      <c r="AB32" s="52" t="str">
        <f>IF(AND('Mapa final'!$Y$21="Media",'Mapa final'!$AA$21="Mayor"),CONCATENATE("R7C",'Mapa final'!$O$21),"")</f>
        <v/>
      </c>
      <c r="AC32" s="53" t="str">
        <f>IF(AND('Mapa final'!$Y$22="Media",'Mapa final'!$AA$22="Mayor"),CONCATENATE("R7C",'Mapa final'!$O$22),"")</f>
        <v/>
      </c>
      <c r="AD32" s="58" t="str">
        <f>IF(AND('Mapa final'!$Y$23="Media",'Mapa final'!$AA$23="Mayor"),CONCATENATE("R7C",'Mapa final'!$O$23),"")</f>
        <v/>
      </c>
      <c r="AE32" s="58" t="str">
        <f>IF(AND('Mapa final'!$Y$24="Media",'Mapa final'!$AA$24="Mayor"),CONCATENATE("R7C",'Mapa final'!$O$24),"")</f>
        <v/>
      </c>
      <c r="AF32" s="58" t="str">
        <f>IF(AND('Mapa final'!$Y$25="Media",'Mapa final'!$AA$25="Mayor"),CONCATENATE("R7C",'Mapa final'!$O$25),"")</f>
        <v/>
      </c>
      <c r="AG32" s="54" t="str">
        <f>IF(AND('Mapa final'!$Y$26="Media",'Mapa final'!$AA$26="Mayor"),CONCATENATE("R7C",'Mapa final'!$O$26),"")</f>
        <v/>
      </c>
      <c r="AH32" s="55" t="str">
        <f>IF(AND('Mapa final'!$Y$21="Media",'Mapa final'!$AA$21="Catastrófico"),CONCATENATE("R7C",'Mapa final'!$O$21),"")</f>
        <v/>
      </c>
      <c r="AI32" s="56" t="str">
        <f>IF(AND('Mapa final'!$Y$22="Media",'Mapa final'!$AA$22="Catastrófico"),CONCATENATE("R7C",'Mapa final'!$O$22),"")</f>
        <v/>
      </c>
      <c r="AJ32" s="56" t="str">
        <f>IF(AND('Mapa final'!$Y$23="Media",'Mapa final'!$AA$23="Catastrófico"),CONCATENATE("R7C",'Mapa final'!$O$23),"")</f>
        <v/>
      </c>
      <c r="AK32" s="56" t="str">
        <f>IF(AND('Mapa final'!$Y$24="Media",'Mapa final'!$AA$24="Catastrófico"),CONCATENATE("R7C",'Mapa final'!$O$24),"")</f>
        <v/>
      </c>
      <c r="AL32" s="56" t="str">
        <f>IF(AND('Mapa final'!$Y$25="Media",'Mapa final'!$AA$25="Catastrófico"),CONCATENATE("R7C",'Mapa final'!$O$25),"")</f>
        <v/>
      </c>
      <c r="AM32" s="57" t="str">
        <f>IF(AND('Mapa final'!$Y$26="Media",'Mapa final'!$AA$26="Catastrófico"),CONCATENATE("R7C",'Mapa final'!$O$26),"")</f>
        <v/>
      </c>
      <c r="AN32" s="84"/>
      <c r="AO32" s="390"/>
      <c r="AP32" s="391"/>
      <c r="AQ32" s="391"/>
      <c r="AR32" s="391"/>
      <c r="AS32" s="391"/>
      <c r="AT32" s="39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308"/>
      <c r="C33" s="308"/>
      <c r="D33" s="309"/>
      <c r="E33" s="349"/>
      <c r="F33" s="350"/>
      <c r="G33" s="350"/>
      <c r="H33" s="350"/>
      <c r="I33" s="351"/>
      <c r="J33" s="68" t="str">
        <f>IF(AND('Mapa final'!$Y$27="Media",'Mapa final'!$AA$27="Leve"),CONCATENATE("R8C",'Mapa final'!$O$27),"")</f>
        <v/>
      </c>
      <c r="K33" s="69" t="str">
        <f>IF(AND('Mapa final'!$Y$28="Media",'Mapa final'!$AA$28="Leve"),CONCATENATE("R8C",'Mapa final'!$O$28),"")</f>
        <v/>
      </c>
      <c r="L33" s="69" t="str">
        <f>IF(AND('Mapa final'!$Y$29="Media",'Mapa final'!$AA$29="Leve"),CONCATENATE("R8C",'Mapa final'!$O$29),"")</f>
        <v/>
      </c>
      <c r="M33" s="69" t="str">
        <f>IF(AND('Mapa final'!$Y$30="Media",'Mapa final'!$AA$30="Leve"),CONCATENATE("R8C",'Mapa final'!$O$30),"")</f>
        <v/>
      </c>
      <c r="N33" s="69" t="str">
        <f>IF(AND('Mapa final'!$Y$31="Media",'Mapa final'!$AA$31="Leve"),CONCATENATE("R8C",'Mapa final'!$O$31),"")</f>
        <v/>
      </c>
      <c r="O33" s="70" t="str">
        <f>IF(AND('Mapa final'!$Y$32="Media",'Mapa final'!$AA$32="Leve"),CONCATENATE("R8C",'Mapa final'!$O$32),"")</f>
        <v/>
      </c>
      <c r="P33" s="68" t="str">
        <f>IF(AND('Mapa final'!$Y$27="Media",'Mapa final'!$AA$27="Menor"),CONCATENATE("R8C",'Mapa final'!$O$27),"")</f>
        <v/>
      </c>
      <c r="Q33" s="69" t="str">
        <f>IF(AND('Mapa final'!$Y$28="Media",'Mapa final'!$AA$28="Menor"),CONCATENATE("R8C",'Mapa final'!$O$28),"")</f>
        <v/>
      </c>
      <c r="R33" s="69" t="str">
        <f>IF(AND('Mapa final'!$Y$29="Media",'Mapa final'!$AA$29="Menor"),CONCATENATE("R8C",'Mapa final'!$O$29),"")</f>
        <v/>
      </c>
      <c r="S33" s="69" t="str">
        <f>IF(AND('Mapa final'!$Y$30="Media",'Mapa final'!$AA$30="Menor"),CONCATENATE("R8C",'Mapa final'!$O$30),"")</f>
        <v/>
      </c>
      <c r="T33" s="69" t="str">
        <f>IF(AND('Mapa final'!$Y$31="Media",'Mapa final'!$AA$31="Menor"),CONCATENATE("R8C",'Mapa final'!$O$31),"")</f>
        <v/>
      </c>
      <c r="U33" s="70" t="str">
        <f>IF(AND('Mapa final'!$Y$32="Media",'Mapa final'!$AA$32="Menor"),CONCATENATE("R8C",'Mapa final'!$O$32),"")</f>
        <v/>
      </c>
      <c r="V33" s="68" t="str">
        <f>IF(AND('Mapa final'!$Y$27="Media",'Mapa final'!$AA$27="Moderado"),CONCATENATE("R8C",'Mapa final'!$O$27),"")</f>
        <v/>
      </c>
      <c r="W33" s="69" t="str">
        <f>IF(AND('Mapa final'!$Y$28="Media",'Mapa final'!$AA$28="Moderado"),CONCATENATE("R8C",'Mapa final'!$O$28),"")</f>
        <v/>
      </c>
      <c r="X33" s="69" t="str">
        <f>IF(AND('Mapa final'!$Y$29="Media",'Mapa final'!$AA$29="Moderado"),CONCATENATE("R8C",'Mapa final'!$O$29),"")</f>
        <v/>
      </c>
      <c r="Y33" s="69" t="str">
        <f>IF(AND('Mapa final'!$Y$30="Media",'Mapa final'!$AA$30="Moderado"),CONCATENATE("R8C",'Mapa final'!$O$30),"")</f>
        <v/>
      </c>
      <c r="Z33" s="69" t="str">
        <f>IF(AND('Mapa final'!$Y$31="Media",'Mapa final'!$AA$31="Moderado"),CONCATENATE("R8C",'Mapa final'!$O$31),"")</f>
        <v/>
      </c>
      <c r="AA33" s="70" t="str">
        <f>IF(AND('Mapa final'!$Y$32="Media",'Mapa final'!$AA$32="Moderado"),CONCATENATE("R8C",'Mapa final'!$O$32),"")</f>
        <v/>
      </c>
      <c r="AB33" s="52" t="str">
        <f>IF(AND('Mapa final'!$Y$27="Media",'Mapa final'!$AA$27="Mayor"),CONCATENATE("R8C",'Mapa final'!$O$27),"")</f>
        <v/>
      </c>
      <c r="AC33" s="53" t="str">
        <f>IF(AND('Mapa final'!$Y$28="Media",'Mapa final'!$AA$28="Mayor"),CONCATENATE("R8C",'Mapa final'!$O$28),"")</f>
        <v/>
      </c>
      <c r="AD33" s="58" t="str">
        <f>IF(AND('Mapa final'!$Y$29="Media",'Mapa final'!$AA$29="Mayor"),CONCATENATE("R8C",'Mapa final'!$O$29),"")</f>
        <v/>
      </c>
      <c r="AE33" s="58" t="str">
        <f>IF(AND('Mapa final'!$Y$30="Media",'Mapa final'!$AA$30="Mayor"),CONCATENATE("R8C",'Mapa final'!$O$30),"")</f>
        <v/>
      </c>
      <c r="AF33" s="58" t="str">
        <f>IF(AND('Mapa final'!$Y$31="Media",'Mapa final'!$AA$31="Mayor"),CONCATENATE("R8C",'Mapa final'!$O$31),"")</f>
        <v/>
      </c>
      <c r="AG33" s="54" t="str">
        <f>IF(AND('Mapa final'!$Y$32="Media",'Mapa final'!$AA$32="Mayor"),CONCATENATE("R8C",'Mapa final'!$O$32),"")</f>
        <v/>
      </c>
      <c r="AH33" s="55" t="str">
        <f>IF(AND('Mapa final'!$Y$27="Media",'Mapa final'!$AA$27="Catastrófico"),CONCATENATE("R8C",'Mapa final'!$O$27),"")</f>
        <v/>
      </c>
      <c r="AI33" s="56" t="str">
        <f>IF(AND('Mapa final'!$Y$28="Media",'Mapa final'!$AA$28="Catastrófico"),CONCATENATE("R8C",'Mapa final'!$O$28),"")</f>
        <v/>
      </c>
      <c r="AJ33" s="56" t="str">
        <f>IF(AND('Mapa final'!$Y$29="Media",'Mapa final'!$AA$29="Catastrófico"),CONCATENATE("R8C",'Mapa final'!$O$29),"")</f>
        <v/>
      </c>
      <c r="AK33" s="56" t="str">
        <f>IF(AND('Mapa final'!$Y$30="Media",'Mapa final'!$AA$30="Catastrófico"),CONCATENATE("R8C",'Mapa final'!$O$30),"")</f>
        <v/>
      </c>
      <c r="AL33" s="56" t="str">
        <f>IF(AND('Mapa final'!$Y$31="Media",'Mapa final'!$AA$31="Catastrófico"),CONCATENATE("R8C",'Mapa final'!$O$31),"")</f>
        <v/>
      </c>
      <c r="AM33" s="57" t="str">
        <f>IF(AND('Mapa final'!$Y$32="Media",'Mapa final'!$AA$32="Catastrófico"),CONCATENATE("R8C",'Mapa final'!$O$32),"")</f>
        <v/>
      </c>
      <c r="AN33" s="84"/>
      <c r="AO33" s="390"/>
      <c r="AP33" s="391"/>
      <c r="AQ33" s="391"/>
      <c r="AR33" s="391"/>
      <c r="AS33" s="391"/>
      <c r="AT33" s="39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308"/>
      <c r="C34" s="308"/>
      <c r="D34" s="309"/>
      <c r="E34" s="349"/>
      <c r="F34" s="350"/>
      <c r="G34" s="350"/>
      <c r="H34" s="350"/>
      <c r="I34" s="351"/>
      <c r="J34" s="68" t="str">
        <f>IF(AND('Mapa final'!$Y$33="Media",'Mapa final'!$AA$33="Leve"),CONCATENATE("R9C",'Mapa final'!$O$33),"")</f>
        <v/>
      </c>
      <c r="K34" s="69" t="str">
        <f>IF(AND('Mapa final'!$Y$34="Media",'Mapa final'!$AA$34="Leve"),CONCATENATE("R9C",'Mapa final'!$O$34),"")</f>
        <v/>
      </c>
      <c r="L34" s="69" t="str">
        <f>IF(AND('Mapa final'!$Y$35="Media",'Mapa final'!$AA$35="Leve"),CONCATENATE("R9C",'Mapa final'!$O$35),"")</f>
        <v/>
      </c>
      <c r="M34" s="69" t="str">
        <f>IF(AND('Mapa final'!$Y$36="Media",'Mapa final'!$AA$36="Leve"),CONCATENATE("R9C",'Mapa final'!$O$36),"")</f>
        <v/>
      </c>
      <c r="N34" s="69" t="str">
        <f>IF(AND('Mapa final'!$Y$37="Media",'Mapa final'!$AA$37="Leve"),CONCATENATE("R9C",'Mapa final'!$O$37),"")</f>
        <v/>
      </c>
      <c r="O34" s="70" t="str">
        <f>IF(AND('Mapa final'!$Y$38="Media",'Mapa final'!$AA$38="Leve"),CONCATENATE("R9C",'Mapa final'!$O$38),"")</f>
        <v/>
      </c>
      <c r="P34" s="68" t="str">
        <f>IF(AND('Mapa final'!$Y$33="Media",'Mapa final'!$AA$33="Menor"),CONCATENATE("R9C",'Mapa final'!$O$33),"")</f>
        <v/>
      </c>
      <c r="Q34" s="69" t="str">
        <f>IF(AND('Mapa final'!$Y$34="Media",'Mapa final'!$AA$34="Menor"),CONCATENATE("R9C",'Mapa final'!$O$34),"")</f>
        <v/>
      </c>
      <c r="R34" s="69" t="str">
        <f>IF(AND('Mapa final'!$Y$35="Media",'Mapa final'!$AA$35="Menor"),CONCATENATE("R9C",'Mapa final'!$O$35),"")</f>
        <v/>
      </c>
      <c r="S34" s="69" t="str">
        <f>IF(AND('Mapa final'!$Y$36="Media",'Mapa final'!$AA$36="Menor"),CONCATENATE("R9C",'Mapa final'!$O$36),"")</f>
        <v/>
      </c>
      <c r="T34" s="69" t="str">
        <f>IF(AND('Mapa final'!$Y$37="Media",'Mapa final'!$AA$37="Menor"),CONCATENATE("R9C",'Mapa final'!$O$37),"")</f>
        <v/>
      </c>
      <c r="U34" s="70" t="str">
        <f>IF(AND('Mapa final'!$Y$38="Media",'Mapa final'!$AA$38="Menor"),CONCATENATE("R9C",'Mapa final'!$O$38),"")</f>
        <v/>
      </c>
      <c r="V34" s="68" t="str">
        <f>IF(AND('Mapa final'!$Y$33="Media",'Mapa final'!$AA$33="Moderado"),CONCATENATE("R9C",'Mapa final'!$O$33),"")</f>
        <v/>
      </c>
      <c r="W34" s="69" t="str">
        <f>IF(AND('Mapa final'!$Y$34="Media",'Mapa final'!$AA$34="Moderado"),CONCATENATE("R9C",'Mapa final'!$O$34),"")</f>
        <v/>
      </c>
      <c r="X34" s="69" t="str">
        <f>IF(AND('Mapa final'!$Y$35="Media",'Mapa final'!$AA$35="Moderado"),CONCATENATE("R9C",'Mapa final'!$O$35),"")</f>
        <v/>
      </c>
      <c r="Y34" s="69" t="str">
        <f>IF(AND('Mapa final'!$Y$36="Media",'Mapa final'!$AA$36="Moderado"),CONCATENATE("R9C",'Mapa final'!$O$36),"")</f>
        <v/>
      </c>
      <c r="Z34" s="69" t="str">
        <f>IF(AND('Mapa final'!$Y$37="Media",'Mapa final'!$AA$37="Moderado"),CONCATENATE("R9C",'Mapa final'!$O$37),"")</f>
        <v/>
      </c>
      <c r="AA34" s="70" t="str">
        <f>IF(AND('Mapa final'!$Y$38="Media",'Mapa final'!$AA$38="Moderado"),CONCATENATE("R9C",'Mapa final'!$O$38),"")</f>
        <v/>
      </c>
      <c r="AB34" s="52" t="str">
        <f>IF(AND('Mapa final'!$Y$33="Media",'Mapa final'!$AA$33="Mayor"),CONCATENATE("R9C",'Mapa final'!$O$33),"")</f>
        <v/>
      </c>
      <c r="AC34" s="53" t="str">
        <f>IF(AND('Mapa final'!$Y$34="Media",'Mapa final'!$AA$34="Mayor"),CONCATENATE("R9C",'Mapa final'!$O$34),"")</f>
        <v/>
      </c>
      <c r="AD34" s="58" t="str">
        <f>IF(AND('Mapa final'!$Y$35="Media",'Mapa final'!$AA$35="Mayor"),CONCATENATE("R9C",'Mapa final'!$O$35),"")</f>
        <v/>
      </c>
      <c r="AE34" s="58" t="str">
        <f>IF(AND('Mapa final'!$Y$36="Media",'Mapa final'!$AA$36="Mayor"),CONCATENATE("R9C",'Mapa final'!$O$36),"")</f>
        <v/>
      </c>
      <c r="AF34" s="58" t="str">
        <f>IF(AND('Mapa final'!$Y$37="Media",'Mapa final'!$AA$37="Mayor"),CONCATENATE("R9C",'Mapa final'!$O$37),"")</f>
        <v/>
      </c>
      <c r="AG34" s="54" t="str">
        <f>IF(AND('Mapa final'!$Y$38="Media",'Mapa final'!$AA$38="Mayor"),CONCATENATE("R9C",'Mapa final'!$O$38),"")</f>
        <v/>
      </c>
      <c r="AH34" s="55" t="str">
        <f>IF(AND('Mapa final'!$Y$33="Media",'Mapa final'!$AA$33="Catastrófico"),CONCATENATE("R9C",'Mapa final'!$O$33),"")</f>
        <v/>
      </c>
      <c r="AI34" s="56" t="str">
        <f>IF(AND('Mapa final'!$Y$34="Media",'Mapa final'!$AA$34="Catastrófico"),CONCATENATE("R9C",'Mapa final'!$O$34),"")</f>
        <v/>
      </c>
      <c r="AJ34" s="56" t="str">
        <f>IF(AND('Mapa final'!$Y$35="Media",'Mapa final'!$AA$35="Catastrófico"),CONCATENATE("R9C",'Mapa final'!$O$35),"")</f>
        <v/>
      </c>
      <c r="AK34" s="56" t="str">
        <f>IF(AND('Mapa final'!$Y$36="Media",'Mapa final'!$AA$36="Catastrófico"),CONCATENATE("R9C",'Mapa final'!$O$36),"")</f>
        <v/>
      </c>
      <c r="AL34" s="56" t="str">
        <f>IF(AND('Mapa final'!$Y$37="Media",'Mapa final'!$AA$37="Catastrófico"),CONCATENATE("R9C",'Mapa final'!$O$37),"")</f>
        <v/>
      </c>
      <c r="AM34" s="57" t="str">
        <f>IF(AND('Mapa final'!$Y$38="Media",'Mapa final'!$AA$38="Catastrófico"),CONCATENATE("R9C",'Mapa final'!$O$38),"")</f>
        <v/>
      </c>
      <c r="AN34" s="84"/>
      <c r="AO34" s="390"/>
      <c r="AP34" s="391"/>
      <c r="AQ34" s="391"/>
      <c r="AR34" s="391"/>
      <c r="AS34" s="391"/>
      <c r="AT34" s="39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308"/>
      <c r="C35" s="308"/>
      <c r="D35" s="309"/>
      <c r="E35" s="352"/>
      <c r="F35" s="353"/>
      <c r="G35" s="353"/>
      <c r="H35" s="353"/>
      <c r="I35" s="354"/>
      <c r="J35" s="68" t="str">
        <f>IF(AND('Mapa final'!$Y$39="Media",'Mapa final'!$AA$39="Leve"),CONCATENATE("R10C",'Mapa final'!$O$39),"")</f>
        <v/>
      </c>
      <c r="K35" s="69" t="str">
        <f>IF(AND('Mapa final'!$Y$40="Media",'Mapa final'!$AA$40="Leve"),CONCATENATE("R10C",'Mapa final'!$O$40),"")</f>
        <v/>
      </c>
      <c r="L35" s="69" t="str">
        <f>IF(AND('Mapa final'!$Y$41="Media",'Mapa final'!$AA$41="Leve"),CONCATENATE("R10C",'Mapa final'!$O$41),"")</f>
        <v/>
      </c>
      <c r="M35" s="69" t="str">
        <f>IF(AND('Mapa final'!$Y$42="Media",'Mapa final'!$AA$42="Leve"),CONCATENATE("R10C",'Mapa final'!$O$42),"")</f>
        <v/>
      </c>
      <c r="N35" s="69" t="str">
        <f>IF(AND('Mapa final'!$Y$43="Media",'Mapa final'!$AA$43="Leve"),CONCATENATE("R10C",'Mapa final'!$O$43),"")</f>
        <v/>
      </c>
      <c r="O35" s="70" t="str">
        <f>IF(AND('Mapa final'!$Y$44="Media",'Mapa final'!$AA$44="Leve"),CONCATENATE("R10C",'Mapa final'!$O$44),"")</f>
        <v/>
      </c>
      <c r="P35" s="68" t="str">
        <f>IF(AND('Mapa final'!$Y$39="Media",'Mapa final'!$AA$39="Menor"),CONCATENATE("R10C",'Mapa final'!$O$39),"")</f>
        <v/>
      </c>
      <c r="Q35" s="69" t="str">
        <f>IF(AND('Mapa final'!$Y$40="Media",'Mapa final'!$AA$40="Menor"),CONCATENATE("R10C",'Mapa final'!$O$40),"")</f>
        <v/>
      </c>
      <c r="R35" s="69" t="str">
        <f>IF(AND('Mapa final'!$Y$41="Media",'Mapa final'!$AA$41="Menor"),CONCATENATE("R10C",'Mapa final'!$O$41),"")</f>
        <v/>
      </c>
      <c r="S35" s="69" t="str">
        <f>IF(AND('Mapa final'!$Y$42="Media",'Mapa final'!$AA$42="Menor"),CONCATENATE("R10C",'Mapa final'!$O$42),"")</f>
        <v/>
      </c>
      <c r="T35" s="69" t="str">
        <f>IF(AND('Mapa final'!$Y$43="Media",'Mapa final'!$AA$43="Menor"),CONCATENATE("R10C",'Mapa final'!$O$43),"")</f>
        <v/>
      </c>
      <c r="U35" s="70" t="str">
        <f>IF(AND('Mapa final'!$Y$44="Media",'Mapa final'!$AA$44="Menor"),CONCATENATE("R10C",'Mapa final'!$O$44),"")</f>
        <v/>
      </c>
      <c r="V35" s="68" t="str">
        <f>IF(AND('Mapa final'!$Y$39="Media",'Mapa final'!$AA$39="Moderado"),CONCATENATE("R10C",'Mapa final'!$O$39),"")</f>
        <v/>
      </c>
      <c r="W35" s="69" t="str">
        <f>IF(AND('Mapa final'!$Y$40="Media",'Mapa final'!$AA$40="Moderado"),CONCATENATE("R10C",'Mapa final'!$O$40),"")</f>
        <v/>
      </c>
      <c r="X35" s="69" t="str">
        <f>IF(AND('Mapa final'!$Y$41="Media",'Mapa final'!$AA$41="Moderado"),CONCATENATE("R10C",'Mapa final'!$O$41),"")</f>
        <v/>
      </c>
      <c r="Y35" s="69" t="str">
        <f>IF(AND('Mapa final'!$Y$42="Media",'Mapa final'!$AA$42="Moderado"),CONCATENATE("R10C",'Mapa final'!$O$42),"")</f>
        <v/>
      </c>
      <c r="Z35" s="69" t="str">
        <f>IF(AND('Mapa final'!$Y$43="Media",'Mapa final'!$AA$43="Moderado"),CONCATENATE("R10C",'Mapa final'!$O$43),"")</f>
        <v/>
      </c>
      <c r="AA35" s="70" t="str">
        <f>IF(AND('Mapa final'!$Y$44="Media",'Mapa final'!$AA$44="Moderado"),CONCATENATE("R10C",'Mapa final'!$O$44),"")</f>
        <v/>
      </c>
      <c r="AB35" s="59" t="str">
        <f>IF(AND('Mapa final'!$Y$39="Media",'Mapa final'!$AA$39="Mayor"),CONCATENATE("R10C",'Mapa final'!$O$39),"")</f>
        <v/>
      </c>
      <c r="AC35" s="60" t="str">
        <f>IF(AND('Mapa final'!$Y$40="Media",'Mapa final'!$AA$40="Mayor"),CONCATENATE("R10C",'Mapa final'!$O$40),"")</f>
        <v/>
      </c>
      <c r="AD35" s="60" t="str">
        <f>IF(AND('Mapa final'!$Y$41="Media",'Mapa final'!$AA$41="Mayor"),CONCATENATE("R10C",'Mapa final'!$O$41),"")</f>
        <v/>
      </c>
      <c r="AE35" s="60" t="str">
        <f>IF(AND('Mapa final'!$Y$42="Media",'Mapa final'!$AA$42="Mayor"),CONCATENATE("R10C",'Mapa final'!$O$42),"")</f>
        <v/>
      </c>
      <c r="AF35" s="60" t="str">
        <f>IF(AND('Mapa final'!$Y$43="Media",'Mapa final'!$AA$43="Mayor"),CONCATENATE("R10C",'Mapa final'!$O$43),"")</f>
        <v/>
      </c>
      <c r="AG35" s="61" t="str">
        <f>IF(AND('Mapa final'!$Y$44="Media",'Mapa final'!$AA$44="Mayor"),CONCATENATE("R10C",'Mapa final'!$O$44),"")</f>
        <v/>
      </c>
      <c r="AH35" s="62" t="str">
        <f>IF(AND('Mapa final'!$Y$39="Media",'Mapa final'!$AA$39="Catastrófico"),CONCATENATE("R10C",'Mapa final'!$O$39),"")</f>
        <v/>
      </c>
      <c r="AI35" s="63" t="str">
        <f>IF(AND('Mapa final'!$Y$40="Media",'Mapa final'!$AA$40="Catastrófico"),CONCATENATE("R10C",'Mapa final'!$O$40),"")</f>
        <v/>
      </c>
      <c r="AJ35" s="63" t="str">
        <f>IF(AND('Mapa final'!$Y$41="Media",'Mapa final'!$AA$41="Catastrófico"),CONCATENATE("R10C",'Mapa final'!$O$41),"")</f>
        <v/>
      </c>
      <c r="AK35" s="63" t="str">
        <f>IF(AND('Mapa final'!$Y$42="Media",'Mapa final'!$AA$42="Catastrófico"),CONCATENATE("R10C",'Mapa final'!$O$42),"")</f>
        <v/>
      </c>
      <c r="AL35" s="63" t="str">
        <f>IF(AND('Mapa final'!$Y$43="Media",'Mapa final'!$AA$43="Catastrófico"),CONCATENATE("R10C",'Mapa final'!$O$43),"")</f>
        <v/>
      </c>
      <c r="AM35" s="64" t="str">
        <f>IF(AND('Mapa final'!$Y$44="Media",'Mapa final'!$AA$44="Catastrófico"),CONCATENATE("R10C",'Mapa final'!$O$44),"")</f>
        <v/>
      </c>
      <c r="AN35" s="84"/>
      <c r="AO35" s="393"/>
      <c r="AP35" s="394"/>
      <c r="AQ35" s="394"/>
      <c r="AR35" s="394"/>
      <c r="AS35" s="394"/>
      <c r="AT35" s="39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308"/>
      <c r="C36" s="308"/>
      <c r="D36" s="309"/>
      <c r="E36" s="346" t="s">
        <v>114</v>
      </c>
      <c r="F36" s="347"/>
      <c r="G36" s="347"/>
      <c r="H36" s="347"/>
      <c r="I36" s="347"/>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R1C1</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78" t="s">
        <v>82</v>
      </c>
      <c r="AP36" s="379"/>
      <c r="AQ36" s="379"/>
      <c r="AR36" s="379"/>
      <c r="AS36" s="379"/>
      <c r="AT36" s="38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308"/>
      <c r="C37" s="308"/>
      <c r="D37" s="309"/>
      <c r="E37" s="365"/>
      <c r="F37" s="366"/>
      <c r="G37" s="366"/>
      <c r="H37" s="366"/>
      <c r="I37" s="366"/>
      <c r="J37" s="77" t="str">
        <f>IF(AND('Mapa final'!$Y$11="Baja",'Mapa final'!$AA$11="Leve"),CONCATENATE("R2C",'Mapa final'!$O$11),"")</f>
        <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final'!$Y$11="Baja",'Mapa final'!$AA$11="Menor"),CONCATENATE("R2C",'Mapa final'!$O$11),"")</f>
        <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final'!$Y$11="Baja",'Mapa final'!$AA$11="Moderado"),CONCATENATE("R2C",'Mapa final'!$O$11),"")</f>
        <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final'!$Y$11="Baja",'Mapa final'!$AA$11="Mayor"),CONCATENATE("R2C",'Mapa final'!$O$11),"")</f>
        <v>R2C1</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381"/>
      <c r="AP37" s="382"/>
      <c r="AQ37" s="382"/>
      <c r="AR37" s="382"/>
      <c r="AS37" s="382"/>
      <c r="AT37" s="38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308"/>
      <c r="C38" s="308"/>
      <c r="D38" s="309"/>
      <c r="E38" s="349"/>
      <c r="F38" s="350"/>
      <c r="G38" s="350"/>
      <c r="H38" s="350"/>
      <c r="I38" s="366"/>
      <c r="J38" s="77" t="str">
        <f>IF(AND('Mapa final'!$Y$12="Baja",'Mapa final'!$AA$12="Leve"),CONCATENATE("R3C",'Mapa final'!$O$12),"")</f>
        <v/>
      </c>
      <c r="K38" s="78" t="e">
        <f>IF(AND('Mapa final'!#REF!="Baja",'Mapa final'!#REF!="Leve"),CONCATENATE("R3C",'Mapa final'!#REF!),"")</f>
        <v>#REF!</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str">
        <f>IF(AND('Mapa final'!$Y$12="Baja",'Mapa final'!$AA$12="Menor"),CONCATENATE("R3C",'Mapa final'!$O$12),"")</f>
        <v/>
      </c>
      <c r="Q38" s="69" t="e">
        <f>IF(AND('Mapa final'!#REF!="Baja",'Mapa final'!#REF!="Menor"),CONCATENATE("R3C",'Mapa final'!#REF!),"")</f>
        <v>#REF!</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str">
        <f>IF(AND('Mapa final'!$Y$12="Baja",'Mapa final'!$AA$12="Moderado"),CONCATENATE("R3C",'Mapa final'!$O$12),"")</f>
        <v/>
      </c>
      <c r="W38" s="69" t="e">
        <f>IF(AND('Mapa final'!#REF!="Baja",'Mapa final'!#REF!="Moderado"),CONCATENATE("R3C",'Mapa final'!#REF!),"")</f>
        <v>#REF!</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381"/>
      <c r="AP38" s="382"/>
      <c r="AQ38" s="382"/>
      <c r="AR38" s="382"/>
      <c r="AS38" s="382"/>
      <c r="AT38" s="38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308"/>
      <c r="C39" s="308"/>
      <c r="D39" s="309"/>
      <c r="E39" s="349"/>
      <c r="F39" s="350"/>
      <c r="G39" s="350"/>
      <c r="H39" s="350"/>
      <c r="I39" s="366"/>
      <c r="J39" s="77" t="str">
        <f>IF(AND('Mapa final'!$Y$13="Baja",'Mapa final'!$AA$13="Leve"),CONCATENATE("R4C",'Mapa final'!$O$13),"")</f>
        <v/>
      </c>
      <c r="K39" s="78" t="e">
        <f>IF(AND('Mapa final'!#REF!="Baja",'Mapa final'!#REF!="Leve"),CONCATENATE("R4C",'Mapa final'!#REF!),"")</f>
        <v>#REF!</v>
      </c>
      <c r="L39" s="78" t="e">
        <f>IF(AND('Mapa final'!#REF!="Baja",'Mapa final'!#REF!="Leve"),CONCATENATE("R4C",'Mapa final'!#REF!),"")</f>
        <v>#REF!</v>
      </c>
      <c r="M39" s="78" t="e">
        <f>IF(AND('Mapa final'!#REF!="Baja",'Mapa final'!#REF!="Leve"),CONCATENATE("R4C",'Mapa final'!#REF!),"")</f>
        <v>#REF!</v>
      </c>
      <c r="N39" s="78" t="e">
        <f>IF(AND('Mapa final'!#REF!="Baja",'Mapa final'!#REF!="Leve"),CONCATENATE("R4C",'Mapa final'!#REF!),"")</f>
        <v>#REF!</v>
      </c>
      <c r="O39" s="79" t="e">
        <f>IF(AND('Mapa final'!#REF!="Baja",'Mapa final'!#REF!="Leve"),CONCATENATE("R4C",'Mapa final'!#REF!),"")</f>
        <v>#REF!</v>
      </c>
      <c r="P39" s="68" t="str">
        <f>IF(AND('Mapa final'!$Y$13="Baja",'Mapa final'!$AA$13="Menor"),CONCATENATE("R4C",'Mapa final'!$O$13),"")</f>
        <v/>
      </c>
      <c r="Q39" s="69" t="e">
        <f>IF(AND('Mapa final'!#REF!="Baja",'Mapa final'!#REF!="Menor"),CONCATENATE("R4C",'Mapa final'!#REF!),"")</f>
        <v>#REF!</v>
      </c>
      <c r="R39" s="69" t="e">
        <f>IF(AND('Mapa final'!#REF!="Baja",'Mapa final'!#REF!="Menor"),CONCATENATE("R4C",'Mapa final'!#REF!),"")</f>
        <v>#REF!</v>
      </c>
      <c r="S39" s="69" t="e">
        <f>IF(AND('Mapa final'!#REF!="Baja",'Mapa final'!#REF!="Menor"),CONCATENATE("R4C",'Mapa final'!#REF!),"")</f>
        <v>#REF!</v>
      </c>
      <c r="T39" s="69" t="e">
        <f>IF(AND('Mapa final'!#REF!="Baja",'Mapa final'!#REF!="Menor"),CONCATENATE("R4C",'Mapa final'!#REF!),"")</f>
        <v>#REF!</v>
      </c>
      <c r="U39" s="70" t="e">
        <f>IF(AND('Mapa final'!#REF!="Baja",'Mapa final'!#REF!="Menor"),CONCATENATE("R4C",'Mapa final'!#REF!),"")</f>
        <v>#REF!</v>
      </c>
      <c r="V39" s="68" t="str">
        <f>IF(AND('Mapa final'!$Y$13="Baja",'Mapa final'!$AA$13="Moderado"),CONCATENATE("R4C",'Mapa final'!$O$13),"")</f>
        <v>R4C1</v>
      </c>
      <c r="W39" s="69" t="e">
        <f>IF(AND('Mapa final'!#REF!="Baja",'Mapa final'!#REF!="Moderado"),CONCATENATE("R4C",'Mapa final'!#REF!),"")</f>
        <v>#REF!</v>
      </c>
      <c r="X39" s="69" t="e">
        <f>IF(AND('Mapa final'!#REF!="Baja",'Mapa final'!#REF!="Moderado"),CONCATENATE("R4C",'Mapa final'!#REF!),"")</f>
        <v>#REF!</v>
      </c>
      <c r="Y39" s="69" t="e">
        <f>IF(AND('Mapa final'!#REF!="Baja",'Mapa final'!#REF!="Moderado"),CONCATENATE("R4C",'Mapa final'!#REF!),"")</f>
        <v>#REF!</v>
      </c>
      <c r="Z39" s="69" t="e">
        <f>IF(AND('Mapa final'!#REF!="Baja",'Mapa final'!#REF!="Moderado"),CONCATENATE("R4C",'Mapa final'!#REF!),"")</f>
        <v>#REF!</v>
      </c>
      <c r="AA39" s="70"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4"/>
      <c r="AO39" s="381"/>
      <c r="AP39" s="382"/>
      <c r="AQ39" s="382"/>
      <c r="AR39" s="382"/>
      <c r="AS39" s="382"/>
      <c r="AT39" s="38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308"/>
      <c r="C40" s="308"/>
      <c r="D40" s="309"/>
      <c r="E40" s="349"/>
      <c r="F40" s="350"/>
      <c r="G40" s="350"/>
      <c r="H40" s="350"/>
      <c r="I40" s="366"/>
      <c r="J40" s="77" t="str">
        <f>IF(AND('Mapa final'!$Y$14="Baja",'Mapa final'!$AA$14="Leve"),CONCATENATE("R5C",'Mapa final'!$O$14),"")</f>
        <v/>
      </c>
      <c r="K40" s="78" t="e">
        <f>IF(AND('Mapa final'!#REF!="Baja",'Mapa final'!#REF!="Leve"),CONCATENATE("R5C",'Mapa final'!#REF!),"")</f>
        <v>#REF!</v>
      </c>
      <c r="L40" s="78" t="e">
        <f>IF(AND('Mapa final'!#REF!="Baja",'Mapa final'!#REF!="Leve"),CONCATENATE("R5C",'Mapa final'!#REF!),"")</f>
        <v>#REF!</v>
      </c>
      <c r="M40" s="78" t="e">
        <f>IF(AND('Mapa final'!#REF!="Baja",'Mapa final'!#REF!="Leve"),CONCATENATE("R5C",'Mapa final'!#REF!),"")</f>
        <v>#REF!</v>
      </c>
      <c r="N40" s="78" t="e">
        <f>IF(AND('Mapa final'!#REF!="Baja",'Mapa final'!#REF!="Leve"),CONCATENATE("R5C",'Mapa final'!#REF!),"")</f>
        <v>#REF!</v>
      </c>
      <c r="O40" s="79" t="e">
        <f>IF(AND('Mapa final'!#REF!="Baja",'Mapa final'!#REF!="Leve"),CONCATENATE("R5C",'Mapa final'!#REF!),"")</f>
        <v>#REF!</v>
      </c>
      <c r="P40" s="68" t="str">
        <f>IF(AND('Mapa final'!$Y$14="Baja",'Mapa final'!$AA$14="Menor"),CONCATENATE("R5C",'Mapa final'!$O$14),"")</f>
        <v/>
      </c>
      <c r="Q40" s="69" t="e">
        <f>IF(AND('Mapa final'!#REF!="Baja",'Mapa final'!#REF!="Menor"),CONCATENATE("R5C",'Mapa final'!#REF!),"")</f>
        <v>#REF!</v>
      </c>
      <c r="R40" s="69" t="e">
        <f>IF(AND('Mapa final'!#REF!="Baja",'Mapa final'!#REF!="Menor"),CONCATENATE("R5C",'Mapa final'!#REF!),"")</f>
        <v>#REF!</v>
      </c>
      <c r="S40" s="69" t="e">
        <f>IF(AND('Mapa final'!#REF!="Baja",'Mapa final'!#REF!="Menor"),CONCATENATE("R5C",'Mapa final'!#REF!),"")</f>
        <v>#REF!</v>
      </c>
      <c r="T40" s="69" t="e">
        <f>IF(AND('Mapa final'!#REF!="Baja",'Mapa final'!#REF!="Menor"),CONCATENATE("R5C",'Mapa final'!#REF!),"")</f>
        <v>#REF!</v>
      </c>
      <c r="U40" s="70" t="e">
        <f>IF(AND('Mapa final'!#REF!="Baja",'Mapa final'!#REF!="Menor"),CONCATENATE("R5C",'Mapa final'!#REF!),"")</f>
        <v>#REF!</v>
      </c>
      <c r="V40" s="68" t="str">
        <f>IF(AND('Mapa final'!$Y$14="Baja",'Mapa final'!$AA$14="Moderado"),CONCATENATE("R5C",'Mapa final'!$O$14),"")</f>
        <v/>
      </c>
      <c r="W40" s="69" t="e">
        <f>IF(AND('Mapa final'!#REF!="Baja",'Mapa final'!#REF!="Moderado"),CONCATENATE("R5C",'Mapa final'!#REF!),"")</f>
        <v>#REF!</v>
      </c>
      <c r="X40" s="69" t="e">
        <f>IF(AND('Mapa final'!#REF!="Baja",'Mapa final'!#REF!="Moderado"),CONCATENATE("R5C",'Mapa final'!#REF!),"")</f>
        <v>#REF!</v>
      </c>
      <c r="Y40" s="69" t="e">
        <f>IF(AND('Mapa final'!#REF!="Baja",'Mapa final'!#REF!="Moderado"),CONCATENATE("R5C",'Mapa final'!#REF!),"")</f>
        <v>#REF!</v>
      </c>
      <c r="Z40" s="69" t="e">
        <f>IF(AND('Mapa final'!#REF!="Baja",'Mapa final'!#REF!="Moderado"),CONCATENATE("R5C",'Mapa final'!#REF!),"")</f>
        <v>#REF!</v>
      </c>
      <c r="AA40" s="70"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8" t="e">
        <f>IF(AND('Mapa final'!#REF!="Baja",'Mapa final'!#REF!="Mayor"),CONCATENATE("R5C",'Mapa final'!#REF!),"")</f>
        <v>#REF!</v>
      </c>
      <c r="AE40" s="58" t="e">
        <f>IF(AND('Mapa final'!#REF!="Baja",'Mapa final'!#REF!="Mayor"),CONCATENATE("R5C",'Mapa final'!#REF!),"")</f>
        <v>#REF!</v>
      </c>
      <c r="AF40" s="58"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4"/>
      <c r="AO40" s="381"/>
      <c r="AP40" s="382"/>
      <c r="AQ40" s="382"/>
      <c r="AR40" s="382"/>
      <c r="AS40" s="382"/>
      <c r="AT40" s="38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308"/>
      <c r="C41" s="308"/>
      <c r="D41" s="309"/>
      <c r="E41" s="349"/>
      <c r="F41" s="350"/>
      <c r="G41" s="350"/>
      <c r="H41" s="350"/>
      <c r="I41" s="366"/>
      <c r="J41" s="77" t="str">
        <f>IF(AND('Mapa final'!$Y$15="Baja",'Mapa final'!$AA$15="Leve"),CONCATENATE("R6C",'Mapa final'!$O$15),"")</f>
        <v/>
      </c>
      <c r="K41" s="78" t="str">
        <f>IF(AND('Mapa final'!$Y$16="Baja",'Mapa final'!$AA$16="Leve"),CONCATENATE("R6C",'Mapa final'!$O$16),"")</f>
        <v/>
      </c>
      <c r="L41" s="78" t="str">
        <f>IF(AND('Mapa final'!$Y$17="Baja",'Mapa final'!$AA$17="Leve"),CONCATENATE("R6C",'Mapa final'!$O$17),"")</f>
        <v/>
      </c>
      <c r="M41" s="78" t="str">
        <f>IF(AND('Mapa final'!$Y$18="Baja",'Mapa final'!$AA$18="Leve"),CONCATENATE("R6C",'Mapa final'!$O$18),"")</f>
        <v/>
      </c>
      <c r="N41" s="78" t="str">
        <f>IF(AND('Mapa final'!$Y$19="Baja",'Mapa final'!$AA$19="Leve"),CONCATENATE("R6C",'Mapa final'!$O$19),"")</f>
        <v/>
      </c>
      <c r="O41" s="79" t="str">
        <f>IF(AND('Mapa final'!$Y$20="Baja",'Mapa final'!$AA$20="Leve"),CONCATENATE("R6C",'Mapa final'!$O$20),"")</f>
        <v/>
      </c>
      <c r="P41" s="68" t="str">
        <f>IF(AND('Mapa final'!$Y$15="Baja",'Mapa final'!$AA$15="Menor"),CONCATENATE("R6C",'Mapa final'!$O$15),"")</f>
        <v/>
      </c>
      <c r="Q41" s="69" t="str">
        <f>IF(AND('Mapa final'!$Y$16="Baja",'Mapa final'!$AA$16="Menor"),CONCATENATE("R6C",'Mapa final'!$O$16),"")</f>
        <v/>
      </c>
      <c r="R41" s="69" t="str">
        <f>IF(AND('Mapa final'!$Y$17="Baja",'Mapa final'!$AA$17="Menor"),CONCATENATE("R6C",'Mapa final'!$O$17),"")</f>
        <v/>
      </c>
      <c r="S41" s="69" t="str">
        <f>IF(AND('Mapa final'!$Y$18="Baja",'Mapa final'!$AA$18="Menor"),CONCATENATE("R6C",'Mapa final'!$O$18),"")</f>
        <v/>
      </c>
      <c r="T41" s="69" t="str">
        <f>IF(AND('Mapa final'!$Y$19="Baja",'Mapa final'!$AA$19="Menor"),CONCATENATE("R6C",'Mapa final'!$O$19),"")</f>
        <v/>
      </c>
      <c r="U41" s="70" t="str">
        <f>IF(AND('Mapa final'!$Y$20="Baja",'Mapa final'!$AA$20="Menor"),CONCATENATE("R6C",'Mapa final'!$O$20),"")</f>
        <v/>
      </c>
      <c r="V41" s="68" t="str">
        <f>IF(AND('Mapa final'!$Y$15="Baja",'Mapa final'!$AA$15="Moderado"),CONCATENATE("R6C",'Mapa final'!$O$15),"")</f>
        <v/>
      </c>
      <c r="W41" s="69" t="str">
        <f>IF(AND('Mapa final'!$Y$16="Baja",'Mapa final'!$AA$16="Moderado"),CONCATENATE("R6C",'Mapa final'!$O$16),"")</f>
        <v/>
      </c>
      <c r="X41" s="69" t="str">
        <f>IF(AND('Mapa final'!$Y$17="Baja",'Mapa final'!$AA$17="Moderado"),CONCATENATE("R6C",'Mapa final'!$O$17),"")</f>
        <v/>
      </c>
      <c r="Y41" s="69" t="str">
        <f>IF(AND('Mapa final'!$Y$18="Baja",'Mapa final'!$AA$18="Moderado"),CONCATENATE("R6C",'Mapa final'!$O$18),"")</f>
        <v/>
      </c>
      <c r="Z41" s="69" t="str">
        <f>IF(AND('Mapa final'!$Y$19="Baja",'Mapa final'!$AA$19="Moderado"),CONCATENATE("R6C",'Mapa final'!$O$19),"")</f>
        <v/>
      </c>
      <c r="AA41" s="70" t="str">
        <f>IF(AND('Mapa final'!$Y$20="Baja",'Mapa final'!$AA$20="Moderado"),CONCATENATE("R6C",'Mapa final'!$O$20),"")</f>
        <v/>
      </c>
      <c r="AB41" s="52" t="str">
        <f>IF(AND('Mapa final'!$Y$15="Baja",'Mapa final'!$AA$15="Mayor"),CONCATENATE("R6C",'Mapa final'!$O$15),"")</f>
        <v/>
      </c>
      <c r="AC41" s="53" t="str">
        <f>IF(AND('Mapa final'!$Y$16="Baja",'Mapa final'!$AA$16="Mayor"),CONCATENATE("R6C",'Mapa final'!$O$16),"")</f>
        <v/>
      </c>
      <c r="AD41" s="58" t="str">
        <f>IF(AND('Mapa final'!$Y$17="Baja",'Mapa final'!$AA$17="Mayor"),CONCATENATE("R6C",'Mapa final'!$O$17),"")</f>
        <v/>
      </c>
      <c r="AE41" s="58" t="str">
        <f>IF(AND('Mapa final'!$Y$18="Baja",'Mapa final'!$AA$18="Mayor"),CONCATENATE("R6C",'Mapa final'!$O$18),"")</f>
        <v/>
      </c>
      <c r="AF41" s="58" t="str">
        <f>IF(AND('Mapa final'!$Y$19="Baja",'Mapa final'!$AA$19="Mayor"),CONCATENATE("R6C",'Mapa final'!$O$19),"")</f>
        <v/>
      </c>
      <c r="AG41" s="54" t="str">
        <f>IF(AND('Mapa final'!$Y$20="Baja",'Mapa final'!$AA$20="Mayor"),CONCATENATE("R6C",'Mapa final'!$O$20),"")</f>
        <v/>
      </c>
      <c r="AH41" s="55" t="str">
        <f>IF(AND('Mapa final'!$Y$15="Baja",'Mapa final'!$AA$15="Catastrófico"),CONCATENATE("R6C",'Mapa final'!$O$15),"")</f>
        <v/>
      </c>
      <c r="AI41" s="56" t="str">
        <f>IF(AND('Mapa final'!$Y$16="Baja",'Mapa final'!$AA$16="Catastrófico"),CONCATENATE("R6C",'Mapa final'!$O$16),"")</f>
        <v/>
      </c>
      <c r="AJ41" s="56" t="str">
        <f>IF(AND('Mapa final'!$Y$17="Baja",'Mapa final'!$AA$17="Catastrófico"),CONCATENATE("R6C",'Mapa final'!$O$17),"")</f>
        <v/>
      </c>
      <c r="AK41" s="56" t="str">
        <f>IF(AND('Mapa final'!$Y$18="Baja",'Mapa final'!$AA$18="Catastrófico"),CONCATENATE("R6C",'Mapa final'!$O$18),"")</f>
        <v/>
      </c>
      <c r="AL41" s="56" t="str">
        <f>IF(AND('Mapa final'!$Y$19="Baja",'Mapa final'!$AA$19="Catastrófico"),CONCATENATE("R6C",'Mapa final'!$O$19),"")</f>
        <v/>
      </c>
      <c r="AM41" s="57" t="str">
        <f>IF(AND('Mapa final'!$Y$20="Baja",'Mapa final'!$AA$20="Catastrófico"),CONCATENATE("R6C",'Mapa final'!$O$20),"")</f>
        <v/>
      </c>
      <c r="AN41" s="84"/>
      <c r="AO41" s="381"/>
      <c r="AP41" s="382"/>
      <c r="AQ41" s="382"/>
      <c r="AR41" s="382"/>
      <c r="AS41" s="382"/>
      <c r="AT41" s="38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308"/>
      <c r="C42" s="308"/>
      <c r="D42" s="309"/>
      <c r="E42" s="349"/>
      <c r="F42" s="350"/>
      <c r="G42" s="350"/>
      <c r="H42" s="350"/>
      <c r="I42" s="366"/>
      <c r="J42" s="77" t="str">
        <f>IF(AND('Mapa final'!$Y$21="Baja",'Mapa final'!$AA$21="Leve"),CONCATENATE("R7C",'Mapa final'!$O$21),"")</f>
        <v/>
      </c>
      <c r="K42" s="78" t="str">
        <f>IF(AND('Mapa final'!$Y$22="Baja",'Mapa final'!$AA$22="Leve"),CONCATENATE("R7C",'Mapa final'!$O$22),"")</f>
        <v/>
      </c>
      <c r="L42" s="78" t="str">
        <f>IF(AND('Mapa final'!$Y$23="Baja",'Mapa final'!$AA$23="Leve"),CONCATENATE("R7C",'Mapa final'!$O$23),"")</f>
        <v/>
      </c>
      <c r="M42" s="78" t="str">
        <f>IF(AND('Mapa final'!$Y$24="Baja",'Mapa final'!$AA$24="Leve"),CONCATENATE("R7C",'Mapa final'!$O$24),"")</f>
        <v/>
      </c>
      <c r="N42" s="78" t="str">
        <f>IF(AND('Mapa final'!$Y$25="Baja",'Mapa final'!$AA$25="Leve"),CONCATENATE("R7C",'Mapa final'!$O$25),"")</f>
        <v/>
      </c>
      <c r="O42" s="79" t="str">
        <f>IF(AND('Mapa final'!$Y$26="Baja",'Mapa final'!$AA$26="Leve"),CONCATENATE("R7C",'Mapa final'!$O$26),"")</f>
        <v/>
      </c>
      <c r="P42" s="68" t="str">
        <f>IF(AND('Mapa final'!$Y$21="Baja",'Mapa final'!$AA$21="Menor"),CONCATENATE("R7C",'Mapa final'!$O$21),"")</f>
        <v/>
      </c>
      <c r="Q42" s="69" t="str">
        <f>IF(AND('Mapa final'!$Y$22="Baja",'Mapa final'!$AA$22="Menor"),CONCATENATE("R7C",'Mapa final'!$O$22),"")</f>
        <v/>
      </c>
      <c r="R42" s="69" t="str">
        <f>IF(AND('Mapa final'!$Y$23="Baja",'Mapa final'!$AA$23="Menor"),CONCATENATE("R7C",'Mapa final'!$O$23),"")</f>
        <v/>
      </c>
      <c r="S42" s="69" t="str">
        <f>IF(AND('Mapa final'!$Y$24="Baja",'Mapa final'!$AA$24="Menor"),CONCATENATE("R7C",'Mapa final'!$O$24),"")</f>
        <v/>
      </c>
      <c r="T42" s="69" t="str">
        <f>IF(AND('Mapa final'!$Y$25="Baja",'Mapa final'!$AA$25="Menor"),CONCATENATE("R7C",'Mapa final'!$O$25),"")</f>
        <v/>
      </c>
      <c r="U42" s="70" t="str">
        <f>IF(AND('Mapa final'!$Y$26="Baja",'Mapa final'!$AA$26="Menor"),CONCATENATE("R7C",'Mapa final'!$O$26),"")</f>
        <v/>
      </c>
      <c r="V42" s="68" t="str">
        <f>IF(AND('Mapa final'!$Y$21="Baja",'Mapa final'!$AA$21="Moderado"),CONCATENATE("R7C",'Mapa final'!$O$21),"")</f>
        <v/>
      </c>
      <c r="W42" s="69" t="str">
        <f>IF(AND('Mapa final'!$Y$22="Baja",'Mapa final'!$AA$22="Moderado"),CONCATENATE("R7C",'Mapa final'!$O$22),"")</f>
        <v/>
      </c>
      <c r="X42" s="69" t="str">
        <f>IF(AND('Mapa final'!$Y$23="Baja",'Mapa final'!$AA$23="Moderado"),CONCATENATE("R7C",'Mapa final'!$O$23),"")</f>
        <v/>
      </c>
      <c r="Y42" s="69" t="str">
        <f>IF(AND('Mapa final'!$Y$24="Baja",'Mapa final'!$AA$24="Moderado"),CONCATENATE("R7C",'Mapa final'!$O$24),"")</f>
        <v/>
      </c>
      <c r="Z42" s="69" t="str">
        <f>IF(AND('Mapa final'!$Y$25="Baja",'Mapa final'!$AA$25="Moderado"),CONCATENATE("R7C",'Mapa final'!$O$25),"")</f>
        <v/>
      </c>
      <c r="AA42" s="70" t="str">
        <f>IF(AND('Mapa final'!$Y$26="Baja",'Mapa final'!$AA$26="Moderado"),CONCATENATE("R7C",'Mapa final'!$O$26),"")</f>
        <v/>
      </c>
      <c r="AB42" s="52" t="str">
        <f>IF(AND('Mapa final'!$Y$21="Baja",'Mapa final'!$AA$21="Mayor"),CONCATENATE("R7C",'Mapa final'!$O$21),"")</f>
        <v/>
      </c>
      <c r="AC42" s="53" t="str">
        <f>IF(AND('Mapa final'!$Y$22="Baja",'Mapa final'!$AA$22="Mayor"),CONCATENATE("R7C",'Mapa final'!$O$22),"")</f>
        <v/>
      </c>
      <c r="AD42" s="58" t="str">
        <f>IF(AND('Mapa final'!$Y$23="Baja",'Mapa final'!$AA$23="Mayor"),CONCATENATE("R7C",'Mapa final'!$O$23),"")</f>
        <v/>
      </c>
      <c r="AE42" s="58" t="str">
        <f>IF(AND('Mapa final'!$Y$24="Baja",'Mapa final'!$AA$24="Mayor"),CONCATENATE("R7C",'Mapa final'!$O$24),"")</f>
        <v/>
      </c>
      <c r="AF42" s="58" t="str">
        <f>IF(AND('Mapa final'!$Y$25="Baja",'Mapa final'!$AA$25="Mayor"),CONCATENATE("R7C",'Mapa final'!$O$25),"")</f>
        <v/>
      </c>
      <c r="AG42" s="54" t="str">
        <f>IF(AND('Mapa final'!$Y$26="Baja",'Mapa final'!$AA$26="Mayor"),CONCATENATE("R7C",'Mapa final'!$O$26),"")</f>
        <v/>
      </c>
      <c r="AH42" s="55" t="str">
        <f>IF(AND('Mapa final'!$Y$21="Baja",'Mapa final'!$AA$21="Catastrófico"),CONCATENATE("R7C",'Mapa final'!$O$21),"")</f>
        <v/>
      </c>
      <c r="AI42" s="56" t="str">
        <f>IF(AND('Mapa final'!$Y$22="Baja",'Mapa final'!$AA$22="Catastrófico"),CONCATENATE("R7C",'Mapa final'!$O$22),"")</f>
        <v/>
      </c>
      <c r="AJ42" s="56" t="str">
        <f>IF(AND('Mapa final'!$Y$23="Baja",'Mapa final'!$AA$23="Catastrófico"),CONCATENATE("R7C",'Mapa final'!$O$23),"")</f>
        <v/>
      </c>
      <c r="AK42" s="56" t="str">
        <f>IF(AND('Mapa final'!$Y$24="Baja",'Mapa final'!$AA$24="Catastrófico"),CONCATENATE("R7C",'Mapa final'!$O$24),"")</f>
        <v/>
      </c>
      <c r="AL42" s="56" t="str">
        <f>IF(AND('Mapa final'!$Y$25="Baja",'Mapa final'!$AA$25="Catastrófico"),CONCATENATE("R7C",'Mapa final'!$O$25),"")</f>
        <v/>
      </c>
      <c r="AM42" s="57" t="str">
        <f>IF(AND('Mapa final'!$Y$26="Baja",'Mapa final'!$AA$26="Catastrófico"),CONCATENATE("R7C",'Mapa final'!$O$26),"")</f>
        <v/>
      </c>
      <c r="AN42" s="84"/>
      <c r="AO42" s="381"/>
      <c r="AP42" s="382"/>
      <c r="AQ42" s="382"/>
      <c r="AR42" s="382"/>
      <c r="AS42" s="382"/>
      <c r="AT42" s="38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308"/>
      <c r="C43" s="308"/>
      <c r="D43" s="309"/>
      <c r="E43" s="349"/>
      <c r="F43" s="350"/>
      <c r="G43" s="350"/>
      <c r="H43" s="350"/>
      <c r="I43" s="366"/>
      <c r="J43" s="77" t="str">
        <f>IF(AND('Mapa final'!$Y$27="Baja",'Mapa final'!$AA$27="Leve"),CONCATENATE("R8C",'Mapa final'!$O$27),"")</f>
        <v/>
      </c>
      <c r="K43" s="78" t="str">
        <f>IF(AND('Mapa final'!$Y$28="Baja",'Mapa final'!$AA$28="Leve"),CONCATENATE("R8C",'Mapa final'!$O$28),"")</f>
        <v/>
      </c>
      <c r="L43" s="78" t="str">
        <f>IF(AND('Mapa final'!$Y$29="Baja",'Mapa final'!$AA$29="Leve"),CONCATENATE("R8C",'Mapa final'!$O$29),"")</f>
        <v/>
      </c>
      <c r="M43" s="78" t="str">
        <f>IF(AND('Mapa final'!$Y$30="Baja",'Mapa final'!$AA$30="Leve"),CONCATENATE("R8C",'Mapa final'!$O$30),"")</f>
        <v/>
      </c>
      <c r="N43" s="78" t="str">
        <f>IF(AND('Mapa final'!$Y$31="Baja",'Mapa final'!$AA$31="Leve"),CONCATENATE("R8C",'Mapa final'!$O$31),"")</f>
        <v/>
      </c>
      <c r="O43" s="79" t="str">
        <f>IF(AND('Mapa final'!$Y$32="Baja",'Mapa final'!$AA$32="Leve"),CONCATENATE("R8C",'Mapa final'!$O$32),"")</f>
        <v/>
      </c>
      <c r="P43" s="68" t="str">
        <f>IF(AND('Mapa final'!$Y$27="Baja",'Mapa final'!$AA$27="Menor"),CONCATENATE("R8C",'Mapa final'!$O$27),"")</f>
        <v/>
      </c>
      <c r="Q43" s="69" t="str">
        <f>IF(AND('Mapa final'!$Y$28="Baja",'Mapa final'!$AA$28="Menor"),CONCATENATE("R8C",'Mapa final'!$O$28),"")</f>
        <v/>
      </c>
      <c r="R43" s="69" t="str">
        <f>IF(AND('Mapa final'!$Y$29="Baja",'Mapa final'!$AA$29="Menor"),CONCATENATE("R8C",'Mapa final'!$O$29),"")</f>
        <v/>
      </c>
      <c r="S43" s="69" t="str">
        <f>IF(AND('Mapa final'!$Y$30="Baja",'Mapa final'!$AA$30="Menor"),CONCATENATE("R8C",'Mapa final'!$O$30),"")</f>
        <v/>
      </c>
      <c r="T43" s="69" t="str">
        <f>IF(AND('Mapa final'!$Y$31="Baja",'Mapa final'!$AA$31="Menor"),CONCATENATE("R8C",'Mapa final'!$O$31),"")</f>
        <v/>
      </c>
      <c r="U43" s="70" t="str">
        <f>IF(AND('Mapa final'!$Y$32="Baja",'Mapa final'!$AA$32="Menor"),CONCATENATE("R8C",'Mapa final'!$O$32),"")</f>
        <v/>
      </c>
      <c r="V43" s="68" t="str">
        <f>IF(AND('Mapa final'!$Y$27="Baja",'Mapa final'!$AA$27="Moderado"),CONCATENATE("R8C",'Mapa final'!$O$27),"")</f>
        <v/>
      </c>
      <c r="W43" s="69" t="str">
        <f>IF(AND('Mapa final'!$Y$28="Baja",'Mapa final'!$AA$28="Moderado"),CONCATENATE("R8C",'Mapa final'!$O$28),"")</f>
        <v/>
      </c>
      <c r="X43" s="69" t="str">
        <f>IF(AND('Mapa final'!$Y$29="Baja",'Mapa final'!$AA$29="Moderado"),CONCATENATE("R8C",'Mapa final'!$O$29),"")</f>
        <v/>
      </c>
      <c r="Y43" s="69" t="str">
        <f>IF(AND('Mapa final'!$Y$30="Baja",'Mapa final'!$AA$30="Moderado"),CONCATENATE("R8C",'Mapa final'!$O$30),"")</f>
        <v/>
      </c>
      <c r="Z43" s="69" t="str">
        <f>IF(AND('Mapa final'!$Y$31="Baja",'Mapa final'!$AA$31="Moderado"),CONCATENATE("R8C",'Mapa final'!$O$31),"")</f>
        <v/>
      </c>
      <c r="AA43" s="70" t="str">
        <f>IF(AND('Mapa final'!$Y$32="Baja",'Mapa final'!$AA$32="Moderado"),CONCATENATE("R8C",'Mapa final'!$O$32),"")</f>
        <v/>
      </c>
      <c r="AB43" s="52" t="str">
        <f>IF(AND('Mapa final'!$Y$27="Baja",'Mapa final'!$AA$27="Mayor"),CONCATENATE("R8C",'Mapa final'!$O$27),"")</f>
        <v/>
      </c>
      <c r="AC43" s="53" t="str">
        <f>IF(AND('Mapa final'!$Y$28="Baja",'Mapa final'!$AA$28="Mayor"),CONCATENATE("R8C",'Mapa final'!$O$28),"")</f>
        <v/>
      </c>
      <c r="AD43" s="58" t="str">
        <f>IF(AND('Mapa final'!$Y$29="Baja",'Mapa final'!$AA$29="Mayor"),CONCATENATE("R8C",'Mapa final'!$O$29),"")</f>
        <v/>
      </c>
      <c r="AE43" s="58" t="str">
        <f>IF(AND('Mapa final'!$Y$30="Baja",'Mapa final'!$AA$30="Mayor"),CONCATENATE("R8C",'Mapa final'!$O$30),"")</f>
        <v/>
      </c>
      <c r="AF43" s="58" t="str">
        <f>IF(AND('Mapa final'!$Y$31="Baja",'Mapa final'!$AA$31="Mayor"),CONCATENATE("R8C",'Mapa final'!$O$31),"")</f>
        <v/>
      </c>
      <c r="AG43" s="54" t="str">
        <f>IF(AND('Mapa final'!$Y$32="Baja",'Mapa final'!$AA$32="Mayor"),CONCATENATE("R8C",'Mapa final'!$O$32),"")</f>
        <v/>
      </c>
      <c r="AH43" s="55" t="str">
        <f>IF(AND('Mapa final'!$Y$27="Baja",'Mapa final'!$AA$27="Catastrófico"),CONCATENATE("R8C",'Mapa final'!$O$27),"")</f>
        <v/>
      </c>
      <c r="AI43" s="56" t="str">
        <f>IF(AND('Mapa final'!$Y$28="Baja",'Mapa final'!$AA$28="Catastrófico"),CONCATENATE("R8C",'Mapa final'!$O$28),"")</f>
        <v/>
      </c>
      <c r="AJ43" s="56" t="str">
        <f>IF(AND('Mapa final'!$Y$29="Baja",'Mapa final'!$AA$29="Catastrófico"),CONCATENATE("R8C",'Mapa final'!$O$29),"")</f>
        <v/>
      </c>
      <c r="AK43" s="56" t="str">
        <f>IF(AND('Mapa final'!$Y$30="Baja",'Mapa final'!$AA$30="Catastrófico"),CONCATENATE("R8C",'Mapa final'!$O$30),"")</f>
        <v/>
      </c>
      <c r="AL43" s="56" t="str">
        <f>IF(AND('Mapa final'!$Y$31="Baja",'Mapa final'!$AA$31="Catastrófico"),CONCATENATE("R8C",'Mapa final'!$O$31),"")</f>
        <v/>
      </c>
      <c r="AM43" s="57" t="str">
        <f>IF(AND('Mapa final'!$Y$32="Baja",'Mapa final'!$AA$32="Catastrófico"),CONCATENATE("R8C",'Mapa final'!$O$32),"")</f>
        <v/>
      </c>
      <c r="AN43" s="84"/>
      <c r="AO43" s="381"/>
      <c r="AP43" s="382"/>
      <c r="AQ43" s="382"/>
      <c r="AR43" s="382"/>
      <c r="AS43" s="382"/>
      <c r="AT43" s="38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308"/>
      <c r="C44" s="308"/>
      <c r="D44" s="309"/>
      <c r="E44" s="349"/>
      <c r="F44" s="350"/>
      <c r="G44" s="350"/>
      <c r="H44" s="350"/>
      <c r="I44" s="366"/>
      <c r="J44" s="77" t="str">
        <f>IF(AND('Mapa final'!$Y$33="Baja",'Mapa final'!$AA$33="Leve"),CONCATENATE("R9C",'Mapa final'!$O$33),"")</f>
        <v/>
      </c>
      <c r="K44" s="78" t="str">
        <f>IF(AND('Mapa final'!$Y$34="Baja",'Mapa final'!$AA$34="Leve"),CONCATENATE("R9C",'Mapa final'!$O$34),"")</f>
        <v/>
      </c>
      <c r="L44" s="78" t="str">
        <f>IF(AND('Mapa final'!$Y$35="Baja",'Mapa final'!$AA$35="Leve"),CONCATENATE("R9C",'Mapa final'!$O$35),"")</f>
        <v/>
      </c>
      <c r="M44" s="78" t="str">
        <f>IF(AND('Mapa final'!$Y$36="Baja",'Mapa final'!$AA$36="Leve"),CONCATENATE("R9C",'Mapa final'!$O$36),"")</f>
        <v/>
      </c>
      <c r="N44" s="78" t="str">
        <f>IF(AND('Mapa final'!$Y$37="Baja",'Mapa final'!$AA$37="Leve"),CONCATENATE("R9C",'Mapa final'!$O$37),"")</f>
        <v/>
      </c>
      <c r="O44" s="79" t="str">
        <f>IF(AND('Mapa final'!$Y$38="Baja",'Mapa final'!$AA$38="Leve"),CONCATENATE("R9C",'Mapa final'!$O$38),"")</f>
        <v/>
      </c>
      <c r="P44" s="68" t="str">
        <f>IF(AND('Mapa final'!$Y$33="Baja",'Mapa final'!$AA$33="Menor"),CONCATENATE("R9C",'Mapa final'!$O$33),"")</f>
        <v/>
      </c>
      <c r="Q44" s="69" t="str">
        <f>IF(AND('Mapa final'!$Y$34="Baja",'Mapa final'!$AA$34="Menor"),CONCATENATE("R9C",'Mapa final'!$O$34),"")</f>
        <v/>
      </c>
      <c r="R44" s="69" t="str">
        <f>IF(AND('Mapa final'!$Y$35="Baja",'Mapa final'!$AA$35="Menor"),CONCATENATE("R9C",'Mapa final'!$O$35),"")</f>
        <v/>
      </c>
      <c r="S44" s="69" t="str">
        <f>IF(AND('Mapa final'!$Y$36="Baja",'Mapa final'!$AA$36="Menor"),CONCATENATE("R9C",'Mapa final'!$O$36),"")</f>
        <v/>
      </c>
      <c r="T44" s="69" t="str">
        <f>IF(AND('Mapa final'!$Y$37="Baja",'Mapa final'!$AA$37="Menor"),CONCATENATE("R9C",'Mapa final'!$O$37),"")</f>
        <v/>
      </c>
      <c r="U44" s="70" t="str">
        <f>IF(AND('Mapa final'!$Y$38="Baja",'Mapa final'!$AA$38="Menor"),CONCATENATE("R9C",'Mapa final'!$O$38),"")</f>
        <v/>
      </c>
      <c r="V44" s="68" t="str">
        <f>IF(AND('Mapa final'!$Y$33="Baja",'Mapa final'!$AA$33="Moderado"),CONCATENATE("R9C",'Mapa final'!$O$33),"")</f>
        <v/>
      </c>
      <c r="W44" s="69" t="str">
        <f>IF(AND('Mapa final'!$Y$34="Baja",'Mapa final'!$AA$34="Moderado"),CONCATENATE("R9C",'Mapa final'!$O$34),"")</f>
        <v/>
      </c>
      <c r="X44" s="69" t="str">
        <f>IF(AND('Mapa final'!$Y$35="Baja",'Mapa final'!$AA$35="Moderado"),CONCATENATE("R9C",'Mapa final'!$O$35),"")</f>
        <v/>
      </c>
      <c r="Y44" s="69" t="str">
        <f>IF(AND('Mapa final'!$Y$36="Baja",'Mapa final'!$AA$36="Moderado"),CONCATENATE("R9C",'Mapa final'!$O$36),"")</f>
        <v/>
      </c>
      <c r="Z44" s="69" t="str">
        <f>IF(AND('Mapa final'!$Y$37="Baja",'Mapa final'!$AA$37="Moderado"),CONCATENATE("R9C",'Mapa final'!$O$37),"")</f>
        <v/>
      </c>
      <c r="AA44" s="70" t="str">
        <f>IF(AND('Mapa final'!$Y$38="Baja",'Mapa final'!$AA$38="Moderado"),CONCATENATE("R9C",'Mapa final'!$O$38),"")</f>
        <v/>
      </c>
      <c r="AB44" s="52" t="str">
        <f>IF(AND('Mapa final'!$Y$33="Baja",'Mapa final'!$AA$33="Mayor"),CONCATENATE("R9C",'Mapa final'!$O$33),"")</f>
        <v/>
      </c>
      <c r="AC44" s="53" t="str">
        <f>IF(AND('Mapa final'!$Y$34="Baja",'Mapa final'!$AA$34="Mayor"),CONCATENATE("R9C",'Mapa final'!$O$34),"")</f>
        <v/>
      </c>
      <c r="AD44" s="58" t="str">
        <f>IF(AND('Mapa final'!$Y$35="Baja",'Mapa final'!$AA$35="Mayor"),CONCATENATE("R9C",'Mapa final'!$O$35),"")</f>
        <v/>
      </c>
      <c r="AE44" s="58" t="str">
        <f>IF(AND('Mapa final'!$Y$36="Baja",'Mapa final'!$AA$36="Mayor"),CONCATENATE("R9C",'Mapa final'!$O$36),"")</f>
        <v/>
      </c>
      <c r="AF44" s="58" t="str">
        <f>IF(AND('Mapa final'!$Y$37="Baja",'Mapa final'!$AA$37="Mayor"),CONCATENATE("R9C",'Mapa final'!$O$37),"")</f>
        <v/>
      </c>
      <c r="AG44" s="54" t="str">
        <f>IF(AND('Mapa final'!$Y$38="Baja",'Mapa final'!$AA$38="Mayor"),CONCATENATE("R9C",'Mapa final'!$O$38),"")</f>
        <v/>
      </c>
      <c r="AH44" s="55" t="str">
        <f>IF(AND('Mapa final'!$Y$33="Baja",'Mapa final'!$AA$33="Catastrófico"),CONCATENATE("R9C",'Mapa final'!$O$33),"")</f>
        <v/>
      </c>
      <c r="AI44" s="56" t="str">
        <f>IF(AND('Mapa final'!$Y$34="Baja",'Mapa final'!$AA$34="Catastrófico"),CONCATENATE("R9C",'Mapa final'!$O$34),"")</f>
        <v/>
      </c>
      <c r="AJ44" s="56" t="str">
        <f>IF(AND('Mapa final'!$Y$35="Baja",'Mapa final'!$AA$35="Catastrófico"),CONCATENATE("R9C",'Mapa final'!$O$35),"")</f>
        <v/>
      </c>
      <c r="AK44" s="56" t="str">
        <f>IF(AND('Mapa final'!$Y$36="Baja",'Mapa final'!$AA$36="Catastrófico"),CONCATENATE("R9C",'Mapa final'!$O$36),"")</f>
        <v/>
      </c>
      <c r="AL44" s="56" t="str">
        <f>IF(AND('Mapa final'!$Y$37="Baja",'Mapa final'!$AA$37="Catastrófico"),CONCATENATE("R9C",'Mapa final'!$O$37),"")</f>
        <v/>
      </c>
      <c r="AM44" s="57" t="str">
        <f>IF(AND('Mapa final'!$Y$38="Baja",'Mapa final'!$AA$38="Catastrófico"),CONCATENATE("R9C",'Mapa final'!$O$38),"")</f>
        <v/>
      </c>
      <c r="AN44" s="84"/>
      <c r="AO44" s="381"/>
      <c r="AP44" s="382"/>
      <c r="AQ44" s="382"/>
      <c r="AR44" s="382"/>
      <c r="AS44" s="382"/>
      <c r="AT44" s="38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308"/>
      <c r="C45" s="308"/>
      <c r="D45" s="309"/>
      <c r="E45" s="352"/>
      <c r="F45" s="353"/>
      <c r="G45" s="353"/>
      <c r="H45" s="353"/>
      <c r="I45" s="353"/>
      <c r="J45" s="80" t="str">
        <f>IF(AND('Mapa final'!$Y$39="Baja",'Mapa final'!$AA$39="Leve"),CONCATENATE("R10C",'Mapa final'!$O$39),"")</f>
        <v/>
      </c>
      <c r="K45" s="81" t="str">
        <f>IF(AND('Mapa final'!$Y$40="Baja",'Mapa final'!$AA$40="Leve"),CONCATENATE("R10C",'Mapa final'!$O$40),"")</f>
        <v/>
      </c>
      <c r="L45" s="81" t="str">
        <f>IF(AND('Mapa final'!$Y$41="Baja",'Mapa final'!$AA$41="Leve"),CONCATENATE("R10C",'Mapa final'!$O$41),"")</f>
        <v/>
      </c>
      <c r="M45" s="81" t="str">
        <f>IF(AND('Mapa final'!$Y$42="Baja",'Mapa final'!$AA$42="Leve"),CONCATENATE("R10C",'Mapa final'!$O$42),"")</f>
        <v/>
      </c>
      <c r="N45" s="81" t="str">
        <f>IF(AND('Mapa final'!$Y$43="Baja",'Mapa final'!$AA$43="Leve"),CONCATENATE("R10C",'Mapa final'!$O$43),"")</f>
        <v/>
      </c>
      <c r="O45" s="82" t="str">
        <f>IF(AND('Mapa final'!$Y$44="Baja",'Mapa final'!$AA$44="Leve"),CONCATENATE("R10C",'Mapa final'!$O$44),"")</f>
        <v/>
      </c>
      <c r="P45" s="68" t="str">
        <f>IF(AND('Mapa final'!$Y$39="Baja",'Mapa final'!$AA$39="Menor"),CONCATENATE("R10C",'Mapa final'!$O$39),"")</f>
        <v/>
      </c>
      <c r="Q45" s="69" t="str">
        <f>IF(AND('Mapa final'!$Y$40="Baja",'Mapa final'!$AA$40="Menor"),CONCATENATE("R10C",'Mapa final'!$O$40),"")</f>
        <v/>
      </c>
      <c r="R45" s="69" t="str">
        <f>IF(AND('Mapa final'!$Y$41="Baja",'Mapa final'!$AA$41="Menor"),CONCATENATE("R10C",'Mapa final'!$O$41),"")</f>
        <v/>
      </c>
      <c r="S45" s="69" t="str">
        <f>IF(AND('Mapa final'!$Y$42="Baja",'Mapa final'!$AA$42="Menor"),CONCATENATE("R10C",'Mapa final'!$O$42),"")</f>
        <v/>
      </c>
      <c r="T45" s="69" t="str">
        <f>IF(AND('Mapa final'!$Y$43="Baja",'Mapa final'!$AA$43="Menor"),CONCATENATE("R10C",'Mapa final'!$O$43),"")</f>
        <v/>
      </c>
      <c r="U45" s="70" t="str">
        <f>IF(AND('Mapa final'!$Y$44="Baja",'Mapa final'!$AA$44="Menor"),CONCATENATE("R10C",'Mapa final'!$O$44),"")</f>
        <v/>
      </c>
      <c r="V45" s="71" t="str">
        <f>IF(AND('Mapa final'!$Y$39="Baja",'Mapa final'!$AA$39="Moderado"),CONCATENATE("R10C",'Mapa final'!$O$39),"")</f>
        <v/>
      </c>
      <c r="W45" s="72" t="str">
        <f>IF(AND('Mapa final'!$Y$40="Baja",'Mapa final'!$AA$40="Moderado"),CONCATENATE("R10C",'Mapa final'!$O$40),"")</f>
        <v/>
      </c>
      <c r="X45" s="72" t="str">
        <f>IF(AND('Mapa final'!$Y$41="Baja",'Mapa final'!$AA$41="Moderado"),CONCATENATE("R10C",'Mapa final'!$O$41),"")</f>
        <v/>
      </c>
      <c r="Y45" s="72" t="str">
        <f>IF(AND('Mapa final'!$Y$42="Baja",'Mapa final'!$AA$42="Moderado"),CONCATENATE("R10C",'Mapa final'!$O$42),"")</f>
        <v/>
      </c>
      <c r="Z45" s="72" t="str">
        <f>IF(AND('Mapa final'!$Y$43="Baja",'Mapa final'!$AA$43="Moderado"),CONCATENATE("R10C",'Mapa final'!$O$43),"")</f>
        <v/>
      </c>
      <c r="AA45" s="73" t="str">
        <f>IF(AND('Mapa final'!$Y$44="Baja",'Mapa final'!$AA$44="Moderado"),CONCATENATE("R10C",'Mapa final'!$O$44),"")</f>
        <v/>
      </c>
      <c r="AB45" s="59" t="str">
        <f>IF(AND('Mapa final'!$Y$39="Baja",'Mapa final'!$AA$39="Mayor"),CONCATENATE("R10C",'Mapa final'!$O$39),"")</f>
        <v/>
      </c>
      <c r="AC45" s="60" t="str">
        <f>IF(AND('Mapa final'!$Y$40="Baja",'Mapa final'!$AA$40="Mayor"),CONCATENATE("R10C",'Mapa final'!$O$40),"")</f>
        <v/>
      </c>
      <c r="AD45" s="60" t="str">
        <f>IF(AND('Mapa final'!$Y$41="Baja",'Mapa final'!$AA$41="Mayor"),CONCATENATE("R10C",'Mapa final'!$O$41),"")</f>
        <v/>
      </c>
      <c r="AE45" s="60" t="str">
        <f>IF(AND('Mapa final'!$Y$42="Baja",'Mapa final'!$AA$42="Mayor"),CONCATENATE("R10C",'Mapa final'!$O$42),"")</f>
        <v/>
      </c>
      <c r="AF45" s="60" t="str">
        <f>IF(AND('Mapa final'!$Y$43="Baja",'Mapa final'!$AA$43="Mayor"),CONCATENATE("R10C",'Mapa final'!$O$43),"")</f>
        <v/>
      </c>
      <c r="AG45" s="61" t="str">
        <f>IF(AND('Mapa final'!$Y$44="Baja",'Mapa final'!$AA$44="Mayor"),CONCATENATE("R10C",'Mapa final'!$O$44),"")</f>
        <v/>
      </c>
      <c r="AH45" s="62" t="str">
        <f>IF(AND('Mapa final'!$Y$39="Baja",'Mapa final'!$AA$39="Catastrófico"),CONCATENATE("R10C",'Mapa final'!$O$39),"")</f>
        <v/>
      </c>
      <c r="AI45" s="63" t="str">
        <f>IF(AND('Mapa final'!$Y$40="Baja",'Mapa final'!$AA$40="Catastrófico"),CONCATENATE("R10C",'Mapa final'!$O$40),"")</f>
        <v/>
      </c>
      <c r="AJ45" s="63" t="str">
        <f>IF(AND('Mapa final'!$Y$41="Baja",'Mapa final'!$AA$41="Catastrófico"),CONCATENATE("R10C",'Mapa final'!$O$41),"")</f>
        <v/>
      </c>
      <c r="AK45" s="63" t="str">
        <f>IF(AND('Mapa final'!$Y$42="Baja",'Mapa final'!$AA$42="Catastrófico"),CONCATENATE("R10C",'Mapa final'!$O$42),"")</f>
        <v/>
      </c>
      <c r="AL45" s="63" t="str">
        <f>IF(AND('Mapa final'!$Y$43="Baja",'Mapa final'!$AA$43="Catastrófico"),CONCATENATE("R10C",'Mapa final'!$O$43),"")</f>
        <v/>
      </c>
      <c r="AM45" s="64" t="str">
        <f>IF(AND('Mapa final'!$Y$44="Baja",'Mapa final'!$AA$44="Catastrófico"),CONCATENATE("R10C",'Mapa final'!$O$44),"")</f>
        <v/>
      </c>
      <c r="AN45" s="84"/>
      <c r="AO45" s="384"/>
      <c r="AP45" s="385"/>
      <c r="AQ45" s="385"/>
      <c r="AR45" s="385"/>
      <c r="AS45" s="385"/>
      <c r="AT45" s="386"/>
    </row>
    <row r="46" spans="1:80" ht="46.5" customHeight="1" x14ac:dyDescent="0.6">
      <c r="A46" s="84"/>
      <c r="B46" s="308"/>
      <c r="C46" s="308"/>
      <c r="D46" s="309"/>
      <c r="E46" s="346" t="s">
        <v>113</v>
      </c>
      <c r="F46" s="347"/>
      <c r="G46" s="347"/>
      <c r="H46" s="347"/>
      <c r="I46" s="348"/>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308"/>
      <c r="C47" s="308"/>
      <c r="D47" s="309"/>
      <c r="E47" s="365"/>
      <c r="F47" s="366"/>
      <c r="G47" s="366"/>
      <c r="H47" s="366"/>
      <c r="I47" s="351"/>
      <c r="J47" s="77" t="str">
        <f>IF(AND('Mapa final'!$Y$11="Muy Baja",'Mapa final'!$AA$11="Leve"),CONCATENATE("R2C",'Mapa final'!$O$11),"")</f>
        <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final'!$Y$11="Muy Baja",'Mapa final'!$AA$11="Menor"),CONCATENATE("R2C",'Mapa final'!$O$11),"")</f>
        <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final'!$Y$11="Muy Baja",'Mapa final'!$AA$11="Moderado"),CONCATENATE("R2C",'Mapa final'!$O$11),"")</f>
        <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308"/>
      <c r="C48" s="308"/>
      <c r="D48" s="309"/>
      <c r="E48" s="365"/>
      <c r="F48" s="366"/>
      <c r="G48" s="366"/>
      <c r="H48" s="366"/>
      <c r="I48" s="351"/>
      <c r="J48" s="77" t="str">
        <f>IF(AND('Mapa final'!$Y$12="Muy Baja",'Mapa final'!$AA$12="Leve"),CONCATENATE("R3C",'Mapa final'!$O$12),"")</f>
        <v/>
      </c>
      <c r="K48" s="78" t="e">
        <f>IF(AND('Mapa final'!#REF!="Muy Baja",'Mapa final'!#REF!="Leve"),CONCATENATE("R3C",'Mapa final'!#REF!),"")</f>
        <v>#REF!</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str">
        <f>IF(AND('Mapa final'!$Y$12="Muy Baja",'Mapa final'!$AA$12="Menor"),CONCATENATE("R3C",'Mapa final'!$O$12),"")</f>
        <v/>
      </c>
      <c r="Q48" s="78" t="e">
        <f>IF(AND('Mapa final'!#REF!="Muy Baja",'Mapa final'!#REF!="Menor"),CONCATENATE("R3C",'Mapa final'!#REF!),"")</f>
        <v>#REF!</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str">
        <f>IF(AND('Mapa final'!$Y$12="Muy Baja",'Mapa final'!$AA$12="Moderado"),CONCATENATE("R3C",'Mapa final'!$O$12),"")</f>
        <v/>
      </c>
      <c r="W48" s="69" t="e">
        <f>IF(AND('Mapa final'!#REF!="Muy Baja",'Mapa final'!#REF!="Moderado"),CONCATENATE("R3C",'Mapa final'!#REF!),"")</f>
        <v>#REF!</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308"/>
      <c r="C49" s="308"/>
      <c r="D49" s="309"/>
      <c r="E49" s="349"/>
      <c r="F49" s="350"/>
      <c r="G49" s="350"/>
      <c r="H49" s="350"/>
      <c r="I49" s="351"/>
      <c r="J49" s="77" t="str">
        <f>IF(AND('Mapa final'!$Y$13="Muy Baja",'Mapa final'!$AA$13="Leve"),CONCATENATE("R4C",'Mapa final'!$O$13),"")</f>
        <v/>
      </c>
      <c r="K49" s="78" t="e">
        <f>IF(AND('Mapa final'!#REF!="Muy Baja",'Mapa final'!#REF!="Leve"),CONCATENATE("R4C",'Mapa final'!#REF!),"")</f>
        <v>#REF!</v>
      </c>
      <c r="L49" s="78" t="e">
        <f>IF(AND('Mapa final'!#REF!="Muy Baja",'Mapa final'!#REF!="Leve"),CONCATENATE("R4C",'Mapa final'!#REF!),"")</f>
        <v>#REF!</v>
      </c>
      <c r="M49" s="78" t="e">
        <f>IF(AND('Mapa final'!#REF!="Muy Baja",'Mapa final'!#REF!="Leve"),CONCATENATE("R4C",'Mapa final'!#REF!),"")</f>
        <v>#REF!</v>
      </c>
      <c r="N49" s="78" t="e">
        <f>IF(AND('Mapa final'!#REF!="Muy Baja",'Mapa final'!#REF!="Leve"),CONCATENATE("R4C",'Mapa final'!#REF!),"")</f>
        <v>#REF!</v>
      </c>
      <c r="O49" s="79" t="e">
        <f>IF(AND('Mapa final'!#REF!="Muy Baja",'Mapa final'!#REF!="Leve"),CONCATENATE("R4C",'Mapa final'!#REF!),"")</f>
        <v>#REF!</v>
      </c>
      <c r="P49" s="77" t="str">
        <f>IF(AND('Mapa final'!$Y$13="Muy Baja",'Mapa final'!$AA$13="Menor"),CONCATENATE("R4C",'Mapa final'!$O$13),"")</f>
        <v/>
      </c>
      <c r="Q49" s="78" t="e">
        <f>IF(AND('Mapa final'!#REF!="Muy Baja",'Mapa final'!#REF!="Menor"),CONCATENATE("R4C",'Mapa final'!#REF!),"")</f>
        <v>#REF!</v>
      </c>
      <c r="R49" s="78" t="e">
        <f>IF(AND('Mapa final'!#REF!="Muy Baja",'Mapa final'!#REF!="Menor"),CONCATENATE("R4C",'Mapa final'!#REF!),"")</f>
        <v>#REF!</v>
      </c>
      <c r="S49" s="78" t="e">
        <f>IF(AND('Mapa final'!#REF!="Muy Baja",'Mapa final'!#REF!="Menor"),CONCATENATE("R4C",'Mapa final'!#REF!),"")</f>
        <v>#REF!</v>
      </c>
      <c r="T49" s="78" t="e">
        <f>IF(AND('Mapa final'!#REF!="Muy Baja",'Mapa final'!#REF!="Menor"),CONCATENATE("R4C",'Mapa final'!#REF!),"")</f>
        <v>#REF!</v>
      </c>
      <c r="U49" s="79" t="e">
        <f>IF(AND('Mapa final'!#REF!="Muy Baja",'Mapa final'!#REF!="Menor"),CONCATENATE("R4C",'Mapa final'!#REF!),"")</f>
        <v>#REF!</v>
      </c>
      <c r="V49" s="68" t="str">
        <f>IF(AND('Mapa final'!$Y$13="Muy Baja",'Mapa final'!$AA$13="Moderado"),CONCATENATE("R4C",'Mapa final'!$O$13),"")</f>
        <v/>
      </c>
      <c r="W49" s="69" t="e">
        <f>IF(AND('Mapa final'!#REF!="Muy Baja",'Mapa final'!#REF!="Moderado"),CONCATENATE("R4C",'Mapa final'!#REF!),"")</f>
        <v>#REF!</v>
      </c>
      <c r="X49" s="69" t="e">
        <f>IF(AND('Mapa final'!#REF!="Muy Baja",'Mapa final'!#REF!="Moderado"),CONCATENATE("R4C",'Mapa final'!#REF!),"")</f>
        <v>#REF!</v>
      </c>
      <c r="Y49" s="69" t="e">
        <f>IF(AND('Mapa final'!#REF!="Muy Baja",'Mapa final'!#REF!="Moderado"),CONCATENATE("R4C",'Mapa final'!#REF!),"")</f>
        <v>#REF!</v>
      </c>
      <c r="Z49" s="69" t="e">
        <f>IF(AND('Mapa final'!#REF!="Muy Baja",'Mapa final'!#REF!="Moderado"),CONCATENATE("R4C",'Mapa final'!#REF!),"")</f>
        <v>#REF!</v>
      </c>
      <c r="AA49" s="70"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308"/>
      <c r="C50" s="308"/>
      <c r="D50" s="309"/>
      <c r="E50" s="349"/>
      <c r="F50" s="350"/>
      <c r="G50" s="350"/>
      <c r="H50" s="350"/>
      <c r="I50" s="351"/>
      <c r="J50" s="77" t="str">
        <f>IF(AND('Mapa final'!$Y$14="Muy Baja",'Mapa final'!$AA$14="Leve"),CONCATENATE("R5C",'Mapa final'!$O$14),"")</f>
        <v/>
      </c>
      <c r="K50" s="78" t="e">
        <f>IF(AND('Mapa final'!#REF!="Muy Baja",'Mapa final'!#REF!="Leve"),CONCATENATE("R5C",'Mapa final'!#REF!),"")</f>
        <v>#REF!</v>
      </c>
      <c r="L50" s="78" t="e">
        <f>IF(AND('Mapa final'!#REF!="Muy Baja",'Mapa final'!#REF!="Leve"),CONCATENATE("R5C",'Mapa final'!#REF!),"")</f>
        <v>#REF!</v>
      </c>
      <c r="M50" s="78" t="e">
        <f>IF(AND('Mapa final'!#REF!="Muy Baja",'Mapa final'!#REF!="Leve"),CONCATENATE("R5C",'Mapa final'!#REF!),"")</f>
        <v>#REF!</v>
      </c>
      <c r="N50" s="78" t="e">
        <f>IF(AND('Mapa final'!#REF!="Muy Baja",'Mapa final'!#REF!="Leve"),CONCATENATE("R5C",'Mapa final'!#REF!),"")</f>
        <v>#REF!</v>
      </c>
      <c r="O50" s="79" t="e">
        <f>IF(AND('Mapa final'!#REF!="Muy Baja",'Mapa final'!#REF!="Leve"),CONCATENATE("R5C",'Mapa final'!#REF!),"")</f>
        <v>#REF!</v>
      </c>
      <c r="P50" s="77" t="str">
        <f>IF(AND('Mapa final'!$Y$14="Muy Baja",'Mapa final'!$AA$14="Menor"),CONCATENATE("R5C",'Mapa final'!$O$14),"")</f>
        <v/>
      </c>
      <c r="Q50" s="78" t="e">
        <f>IF(AND('Mapa final'!#REF!="Muy Baja",'Mapa final'!#REF!="Menor"),CONCATENATE("R5C",'Mapa final'!#REF!),"")</f>
        <v>#REF!</v>
      </c>
      <c r="R50" s="78" t="e">
        <f>IF(AND('Mapa final'!#REF!="Muy Baja",'Mapa final'!#REF!="Menor"),CONCATENATE("R5C",'Mapa final'!#REF!),"")</f>
        <v>#REF!</v>
      </c>
      <c r="S50" s="78" t="e">
        <f>IF(AND('Mapa final'!#REF!="Muy Baja",'Mapa final'!#REF!="Menor"),CONCATENATE("R5C",'Mapa final'!#REF!),"")</f>
        <v>#REF!</v>
      </c>
      <c r="T50" s="78" t="e">
        <f>IF(AND('Mapa final'!#REF!="Muy Baja",'Mapa final'!#REF!="Menor"),CONCATENATE("R5C",'Mapa final'!#REF!),"")</f>
        <v>#REF!</v>
      </c>
      <c r="U50" s="79" t="e">
        <f>IF(AND('Mapa final'!#REF!="Muy Baja",'Mapa final'!#REF!="Menor"),CONCATENATE("R5C",'Mapa final'!#REF!),"")</f>
        <v>#REF!</v>
      </c>
      <c r="V50" s="68" t="str">
        <f>IF(AND('Mapa final'!$Y$14="Muy Baja",'Mapa final'!$AA$14="Moderado"),CONCATENATE("R5C",'Mapa final'!$O$14),"")</f>
        <v/>
      </c>
      <c r="W50" s="69" t="e">
        <f>IF(AND('Mapa final'!#REF!="Muy Baja",'Mapa final'!#REF!="Moderado"),CONCATENATE("R5C",'Mapa final'!#REF!),"")</f>
        <v>#REF!</v>
      </c>
      <c r="X50" s="69" t="e">
        <f>IF(AND('Mapa final'!#REF!="Muy Baja",'Mapa final'!#REF!="Moderado"),CONCATENATE("R5C",'Mapa final'!#REF!),"")</f>
        <v>#REF!</v>
      </c>
      <c r="Y50" s="69" t="e">
        <f>IF(AND('Mapa final'!#REF!="Muy Baja",'Mapa final'!#REF!="Moderado"),CONCATENATE("R5C",'Mapa final'!#REF!),"")</f>
        <v>#REF!</v>
      </c>
      <c r="Z50" s="69" t="e">
        <f>IF(AND('Mapa final'!#REF!="Muy Baja",'Mapa final'!#REF!="Moderado"),CONCATENATE("R5C",'Mapa final'!#REF!),"")</f>
        <v>#REF!</v>
      </c>
      <c r="AA50" s="70" t="e">
        <f>IF(AND('Mapa final'!#REF!="Muy Baja",'Mapa final'!#REF!="Moderado"),CONCATENATE("R5C",'Mapa final'!#REF!),"")</f>
        <v>#REF!</v>
      </c>
      <c r="AB50" s="52" t="str">
        <f>IF(AND('Mapa final'!$Y$14="Muy Baja",'Mapa final'!$AA$14="Mayor"),CONCATENATE("R5C",'Mapa final'!$O$14),"")</f>
        <v>R5C1</v>
      </c>
      <c r="AC50" s="53" t="e">
        <f>IF(AND('Mapa final'!#REF!="Muy Baja",'Mapa final'!#REF!="Mayor"),CONCATENATE("R5C",'Mapa final'!#REF!),"")</f>
        <v>#REF!</v>
      </c>
      <c r="AD50" s="58" t="e">
        <f>IF(AND('Mapa final'!#REF!="Muy Baja",'Mapa final'!#REF!="Mayor"),CONCATENATE("R5C",'Mapa final'!#REF!),"")</f>
        <v>#REF!</v>
      </c>
      <c r="AE50" s="58" t="e">
        <f>IF(AND('Mapa final'!#REF!="Muy Baja",'Mapa final'!#REF!="Mayor"),CONCATENATE("R5C",'Mapa final'!#REF!),"")</f>
        <v>#REF!</v>
      </c>
      <c r="AF50" s="58"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308"/>
      <c r="C51" s="308"/>
      <c r="D51" s="309"/>
      <c r="E51" s="349"/>
      <c r="F51" s="350"/>
      <c r="G51" s="350"/>
      <c r="H51" s="350"/>
      <c r="I51" s="351"/>
      <c r="J51" s="77" t="str">
        <f>IF(AND('Mapa final'!$Y$15="Muy Baja",'Mapa final'!$AA$15="Leve"),CONCATENATE("R6C",'Mapa final'!$O$15),"")</f>
        <v/>
      </c>
      <c r="K51" s="78" t="str">
        <f>IF(AND('Mapa final'!$Y$16="Muy Baja",'Mapa final'!$AA$16="Leve"),CONCATENATE("R6C",'Mapa final'!$O$16),"")</f>
        <v/>
      </c>
      <c r="L51" s="78" t="str">
        <f>IF(AND('Mapa final'!$Y$17="Muy Baja",'Mapa final'!$AA$17="Leve"),CONCATENATE("R6C",'Mapa final'!$O$17),"")</f>
        <v/>
      </c>
      <c r="M51" s="78" t="str">
        <f>IF(AND('Mapa final'!$Y$18="Muy Baja",'Mapa final'!$AA$18="Leve"),CONCATENATE("R6C",'Mapa final'!$O$18),"")</f>
        <v/>
      </c>
      <c r="N51" s="78" t="str">
        <f>IF(AND('Mapa final'!$Y$19="Muy Baja",'Mapa final'!$AA$19="Leve"),CONCATENATE("R6C",'Mapa final'!$O$19),"")</f>
        <v/>
      </c>
      <c r="O51" s="79" t="str">
        <f>IF(AND('Mapa final'!$Y$20="Muy Baja",'Mapa final'!$AA$20="Leve"),CONCATENATE("R6C",'Mapa final'!$O$20),"")</f>
        <v/>
      </c>
      <c r="P51" s="77" t="str">
        <f>IF(AND('Mapa final'!$Y$15="Muy Baja",'Mapa final'!$AA$15="Menor"),CONCATENATE("R6C",'Mapa final'!$O$15),"")</f>
        <v/>
      </c>
      <c r="Q51" s="78" t="str">
        <f>IF(AND('Mapa final'!$Y$16="Muy Baja",'Mapa final'!$AA$16="Menor"),CONCATENATE("R6C",'Mapa final'!$O$16),"")</f>
        <v/>
      </c>
      <c r="R51" s="78" t="str">
        <f>IF(AND('Mapa final'!$Y$17="Muy Baja",'Mapa final'!$AA$17="Menor"),CONCATENATE("R6C",'Mapa final'!$O$17),"")</f>
        <v/>
      </c>
      <c r="S51" s="78" t="str">
        <f>IF(AND('Mapa final'!$Y$18="Muy Baja",'Mapa final'!$AA$18="Menor"),CONCATENATE("R6C",'Mapa final'!$O$18),"")</f>
        <v/>
      </c>
      <c r="T51" s="78" t="str">
        <f>IF(AND('Mapa final'!$Y$19="Muy Baja",'Mapa final'!$AA$19="Menor"),CONCATENATE("R6C",'Mapa final'!$O$19),"")</f>
        <v/>
      </c>
      <c r="U51" s="79" t="str">
        <f>IF(AND('Mapa final'!$Y$20="Muy Baja",'Mapa final'!$AA$20="Menor"),CONCATENATE("R6C",'Mapa final'!$O$20),"")</f>
        <v/>
      </c>
      <c r="V51" s="68" t="str">
        <f>IF(AND('Mapa final'!$Y$15="Muy Baja",'Mapa final'!$AA$15="Moderado"),CONCATENATE("R6C",'Mapa final'!$O$15),"")</f>
        <v/>
      </c>
      <c r="W51" s="69" t="str">
        <f>IF(AND('Mapa final'!$Y$16="Muy Baja",'Mapa final'!$AA$16="Moderado"),CONCATENATE("R6C",'Mapa final'!$O$16),"")</f>
        <v/>
      </c>
      <c r="X51" s="69" t="str">
        <f>IF(AND('Mapa final'!$Y$17="Muy Baja",'Mapa final'!$AA$17="Moderado"),CONCATENATE("R6C",'Mapa final'!$O$17),"")</f>
        <v/>
      </c>
      <c r="Y51" s="69" t="str">
        <f>IF(AND('Mapa final'!$Y$18="Muy Baja",'Mapa final'!$AA$18="Moderado"),CONCATENATE("R6C",'Mapa final'!$O$18),"")</f>
        <v/>
      </c>
      <c r="Z51" s="69" t="str">
        <f>IF(AND('Mapa final'!$Y$19="Muy Baja",'Mapa final'!$AA$19="Moderado"),CONCATENATE("R6C",'Mapa final'!$O$19),"")</f>
        <v/>
      </c>
      <c r="AA51" s="70" t="str">
        <f>IF(AND('Mapa final'!$Y$20="Muy Baja",'Mapa final'!$AA$20="Moderado"),CONCATENATE("R6C",'Mapa final'!$O$20),"")</f>
        <v/>
      </c>
      <c r="AB51" s="52" t="str">
        <f>IF(AND('Mapa final'!$Y$15="Muy Baja",'Mapa final'!$AA$15="Mayor"),CONCATENATE("R6C",'Mapa final'!$O$15),"")</f>
        <v/>
      </c>
      <c r="AC51" s="53" t="str">
        <f>IF(AND('Mapa final'!$Y$16="Muy Baja",'Mapa final'!$AA$16="Mayor"),CONCATENATE("R6C",'Mapa final'!$O$16),"")</f>
        <v/>
      </c>
      <c r="AD51" s="58" t="str">
        <f>IF(AND('Mapa final'!$Y$17="Muy Baja",'Mapa final'!$AA$17="Mayor"),CONCATENATE("R6C",'Mapa final'!$O$17),"")</f>
        <v/>
      </c>
      <c r="AE51" s="58" t="str">
        <f>IF(AND('Mapa final'!$Y$18="Muy Baja",'Mapa final'!$AA$18="Mayor"),CONCATENATE("R6C",'Mapa final'!$O$18),"")</f>
        <v/>
      </c>
      <c r="AF51" s="58" t="str">
        <f>IF(AND('Mapa final'!$Y$19="Muy Baja",'Mapa final'!$AA$19="Mayor"),CONCATENATE("R6C",'Mapa final'!$O$19),"")</f>
        <v/>
      </c>
      <c r="AG51" s="54" t="str">
        <f>IF(AND('Mapa final'!$Y$20="Muy Baja",'Mapa final'!$AA$20="Mayor"),CONCATENATE("R6C",'Mapa final'!$O$20),"")</f>
        <v/>
      </c>
      <c r="AH51" s="55" t="str">
        <f>IF(AND('Mapa final'!$Y$15="Muy Baja",'Mapa final'!$AA$15="Catastrófico"),CONCATENATE("R6C",'Mapa final'!$O$15),"")</f>
        <v/>
      </c>
      <c r="AI51" s="56" t="str">
        <f>IF(AND('Mapa final'!$Y$16="Muy Baja",'Mapa final'!$AA$16="Catastrófico"),CONCATENATE("R6C",'Mapa final'!$O$16),"")</f>
        <v/>
      </c>
      <c r="AJ51" s="56" t="str">
        <f>IF(AND('Mapa final'!$Y$17="Muy Baja",'Mapa final'!$AA$17="Catastrófico"),CONCATENATE("R6C",'Mapa final'!$O$17),"")</f>
        <v/>
      </c>
      <c r="AK51" s="56" t="str">
        <f>IF(AND('Mapa final'!$Y$18="Muy Baja",'Mapa final'!$AA$18="Catastrófico"),CONCATENATE("R6C",'Mapa final'!$O$18),"")</f>
        <v/>
      </c>
      <c r="AL51" s="56" t="str">
        <f>IF(AND('Mapa final'!$Y$19="Muy Baja",'Mapa final'!$AA$19="Catastrófico"),CONCATENATE("R6C",'Mapa final'!$O$19),"")</f>
        <v/>
      </c>
      <c r="AM51" s="57" t="str">
        <f>IF(AND('Mapa final'!$Y$20="Muy Baja",'Mapa final'!$AA$20="Catastrófico"),CONCATENATE("R6C",'Mapa final'!$O$20),"")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308"/>
      <c r="C52" s="308"/>
      <c r="D52" s="309"/>
      <c r="E52" s="349"/>
      <c r="F52" s="350"/>
      <c r="G52" s="350"/>
      <c r="H52" s="350"/>
      <c r="I52" s="351"/>
      <c r="J52" s="77" t="str">
        <f>IF(AND('Mapa final'!$Y$21="Muy Baja",'Mapa final'!$AA$21="Leve"),CONCATENATE("R7C",'Mapa final'!$O$21),"")</f>
        <v/>
      </c>
      <c r="K52" s="78" t="str">
        <f>IF(AND('Mapa final'!$Y$22="Muy Baja",'Mapa final'!$AA$22="Leve"),CONCATENATE("R7C",'Mapa final'!$O$22),"")</f>
        <v/>
      </c>
      <c r="L52" s="78" t="str">
        <f>IF(AND('Mapa final'!$Y$23="Muy Baja",'Mapa final'!$AA$23="Leve"),CONCATENATE("R7C",'Mapa final'!$O$23),"")</f>
        <v/>
      </c>
      <c r="M52" s="78" t="str">
        <f>IF(AND('Mapa final'!$Y$24="Muy Baja",'Mapa final'!$AA$24="Leve"),CONCATENATE("R7C",'Mapa final'!$O$24),"")</f>
        <v/>
      </c>
      <c r="N52" s="78" t="str">
        <f>IF(AND('Mapa final'!$Y$25="Muy Baja",'Mapa final'!$AA$25="Leve"),CONCATENATE("R7C",'Mapa final'!$O$25),"")</f>
        <v/>
      </c>
      <c r="O52" s="79" t="str">
        <f>IF(AND('Mapa final'!$Y$26="Muy Baja",'Mapa final'!$AA$26="Leve"),CONCATENATE("R7C",'Mapa final'!$O$26),"")</f>
        <v/>
      </c>
      <c r="P52" s="77" t="str">
        <f>IF(AND('Mapa final'!$Y$21="Muy Baja",'Mapa final'!$AA$21="Menor"),CONCATENATE("R7C",'Mapa final'!$O$21),"")</f>
        <v/>
      </c>
      <c r="Q52" s="78" t="str">
        <f>IF(AND('Mapa final'!$Y$22="Muy Baja",'Mapa final'!$AA$22="Menor"),CONCATENATE("R7C",'Mapa final'!$O$22),"")</f>
        <v/>
      </c>
      <c r="R52" s="78" t="str">
        <f>IF(AND('Mapa final'!$Y$23="Muy Baja",'Mapa final'!$AA$23="Menor"),CONCATENATE("R7C",'Mapa final'!$O$23),"")</f>
        <v/>
      </c>
      <c r="S52" s="78" t="str">
        <f>IF(AND('Mapa final'!$Y$24="Muy Baja",'Mapa final'!$AA$24="Menor"),CONCATENATE("R7C",'Mapa final'!$O$24),"")</f>
        <v/>
      </c>
      <c r="T52" s="78" t="str">
        <f>IF(AND('Mapa final'!$Y$25="Muy Baja",'Mapa final'!$AA$25="Menor"),CONCATENATE("R7C",'Mapa final'!$O$25),"")</f>
        <v/>
      </c>
      <c r="U52" s="79" t="str">
        <f>IF(AND('Mapa final'!$Y$26="Muy Baja",'Mapa final'!$AA$26="Menor"),CONCATENATE("R7C",'Mapa final'!$O$26),"")</f>
        <v/>
      </c>
      <c r="V52" s="68" t="str">
        <f>IF(AND('Mapa final'!$Y$21="Muy Baja",'Mapa final'!$AA$21="Moderado"),CONCATENATE("R7C",'Mapa final'!$O$21),"")</f>
        <v/>
      </c>
      <c r="W52" s="69" t="str">
        <f>IF(AND('Mapa final'!$Y$22="Muy Baja",'Mapa final'!$AA$22="Moderado"),CONCATENATE("R7C",'Mapa final'!$O$22),"")</f>
        <v/>
      </c>
      <c r="X52" s="69" t="str">
        <f>IF(AND('Mapa final'!$Y$23="Muy Baja",'Mapa final'!$AA$23="Moderado"),CONCATENATE("R7C",'Mapa final'!$O$23),"")</f>
        <v/>
      </c>
      <c r="Y52" s="69" t="str">
        <f>IF(AND('Mapa final'!$Y$24="Muy Baja",'Mapa final'!$AA$24="Moderado"),CONCATENATE("R7C",'Mapa final'!$O$24),"")</f>
        <v/>
      </c>
      <c r="Z52" s="69" t="str">
        <f>IF(AND('Mapa final'!$Y$25="Muy Baja",'Mapa final'!$AA$25="Moderado"),CONCATENATE("R7C",'Mapa final'!$O$25),"")</f>
        <v/>
      </c>
      <c r="AA52" s="70" t="str">
        <f>IF(AND('Mapa final'!$Y$26="Muy Baja",'Mapa final'!$AA$26="Moderado"),CONCATENATE("R7C",'Mapa final'!$O$26),"")</f>
        <v/>
      </c>
      <c r="AB52" s="52" t="str">
        <f>IF(AND('Mapa final'!$Y$21="Muy Baja",'Mapa final'!$AA$21="Mayor"),CONCATENATE("R7C",'Mapa final'!$O$21),"")</f>
        <v/>
      </c>
      <c r="AC52" s="53" t="str">
        <f>IF(AND('Mapa final'!$Y$22="Muy Baja",'Mapa final'!$AA$22="Mayor"),CONCATENATE("R7C",'Mapa final'!$O$22),"")</f>
        <v/>
      </c>
      <c r="AD52" s="58" t="str">
        <f>IF(AND('Mapa final'!$Y$23="Muy Baja",'Mapa final'!$AA$23="Mayor"),CONCATENATE("R7C",'Mapa final'!$O$23),"")</f>
        <v/>
      </c>
      <c r="AE52" s="58" t="str">
        <f>IF(AND('Mapa final'!$Y$24="Muy Baja",'Mapa final'!$AA$24="Mayor"),CONCATENATE("R7C",'Mapa final'!$O$24),"")</f>
        <v/>
      </c>
      <c r="AF52" s="58" t="str">
        <f>IF(AND('Mapa final'!$Y$25="Muy Baja",'Mapa final'!$AA$25="Mayor"),CONCATENATE("R7C",'Mapa final'!$O$25),"")</f>
        <v/>
      </c>
      <c r="AG52" s="54" t="str">
        <f>IF(AND('Mapa final'!$Y$26="Muy Baja",'Mapa final'!$AA$26="Mayor"),CONCATENATE("R7C",'Mapa final'!$O$26),"")</f>
        <v/>
      </c>
      <c r="AH52" s="55" t="str">
        <f>IF(AND('Mapa final'!$Y$21="Muy Baja",'Mapa final'!$AA$21="Catastrófico"),CONCATENATE("R7C",'Mapa final'!$O$21),"")</f>
        <v/>
      </c>
      <c r="AI52" s="56" t="str">
        <f>IF(AND('Mapa final'!$Y$22="Muy Baja",'Mapa final'!$AA$22="Catastrófico"),CONCATENATE("R7C",'Mapa final'!$O$22),"")</f>
        <v/>
      </c>
      <c r="AJ52" s="56" t="str">
        <f>IF(AND('Mapa final'!$Y$23="Muy Baja",'Mapa final'!$AA$23="Catastrófico"),CONCATENATE("R7C",'Mapa final'!$O$23),"")</f>
        <v/>
      </c>
      <c r="AK52" s="56" t="str">
        <f>IF(AND('Mapa final'!$Y$24="Muy Baja",'Mapa final'!$AA$24="Catastrófico"),CONCATENATE("R7C",'Mapa final'!$O$24),"")</f>
        <v/>
      </c>
      <c r="AL52" s="56" t="str">
        <f>IF(AND('Mapa final'!$Y$25="Muy Baja",'Mapa final'!$AA$25="Catastrófico"),CONCATENATE("R7C",'Mapa final'!$O$25),"")</f>
        <v/>
      </c>
      <c r="AM52" s="57" t="str">
        <f>IF(AND('Mapa final'!$Y$26="Muy Baja",'Mapa final'!$AA$26="Catastrófico"),CONCATENATE("R7C",'Mapa final'!$O$26),"")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308"/>
      <c r="C53" s="308"/>
      <c r="D53" s="309"/>
      <c r="E53" s="349"/>
      <c r="F53" s="350"/>
      <c r="G53" s="350"/>
      <c r="H53" s="350"/>
      <c r="I53" s="351"/>
      <c r="J53" s="77" t="str">
        <f>IF(AND('Mapa final'!$Y$27="Muy Baja",'Mapa final'!$AA$27="Leve"),CONCATENATE("R8C",'Mapa final'!$O$27),"")</f>
        <v/>
      </c>
      <c r="K53" s="78" t="str">
        <f>IF(AND('Mapa final'!$Y$28="Muy Baja",'Mapa final'!$AA$28="Leve"),CONCATENATE("R8C",'Mapa final'!$O$28),"")</f>
        <v/>
      </c>
      <c r="L53" s="78" t="str">
        <f>IF(AND('Mapa final'!$Y$29="Muy Baja",'Mapa final'!$AA$29="Leve"),CONCATENATE("R8C",'Mapa final'!$O$29),"")</f>
        <v/>
      </c>
      <c r="M53" s="78" t="str">
        <f>IF(AND('Mapa final'!$Y$30="Muy Baja",'Mapa final'!$AA$30="Leve"),CONCATENATE("R8C",'Mapa final'!$O$30),"")</f>
        <v/>
      </c>
      <c r="N53" s="78" t="str">
        <f>IF(AND('Mapa final'!$Y$31="Muy Baja",'Mapa final'!$AA$31="Leve"),CONCATENATE("R8C",'Mapa final'!$O$31),"")</f>
        <v/>
      </c>
      <c r="O53" s="79" t="str">
        <f>IF(AND('Mapa final'!$Y$32="Muy Baja",'Mapa final'!$AA$32="Leve"),CONCATENATE("R8C",'Mapa final'!$O$32),"")</f>
        <v/>
      </c>
      <c r="P53" s="77" t="str">
        <f>IF(AND('Mapa final'!$Y$27="Muy Baja",'Mapa final'!$AA$27="Menor"),CONCATENATE("R8C",'Mapa final'!$O$27),"")</f>
        <v/>
      </c>
      <c r="Q53" s="78" t="str">
        <f>IF(AND('Mapa final'!$Y$28="Muy Baja",'Mapa final'!$AA$28="Menor"),CONCATENATE("R8C",'Mapa final'!$O$28),"")</f>
        <v/>
      </c>
      <c r="R53" s="78" t="str">
        <f>IF(AND('Mapa final'!$Y$29="Muy Baja",'Mapa final'!$AA$29="Menor"),CONCATENATE("R8C",'Mapa final'!$O$29),"")</f>
        <v/>
      </c>
      <c r="S53" s="78" t="str">
        <f>IF(AND('Mapa final'!$Y$30="Muy Baja",'Mapa final'!$AA$30="Menor"),CONCATENATE("R8C",'Mapa final'!$O$30),"")</f>
        <v/>
      </c>
      <c r="T53" s="78" t="str">
        <f>IF(AND('Mapa final'!$Y$31="Muy Baja",'Mapa final'!$AA$31="Menor"),CONCATENATE("R8C",'Mapa final'!$O$31),"")</f>
        <v/>
      </c>
      <c r="U53" s="79" t="str">
        <f>IF(AND('Mapa final'!$Y$32="Muy Baja",'Mapa final'!$AA$32="Menor"),CONCATENATE("R8C",'Mapa final'!$O$32),"")</f>
        <v/>
      </c>
      <c r="V53" s="68" t="str">
        <f>IF(AND('Mapa final'!$Y$27="Muy Baja",'Mapa final'!$AA$27="Moderado"),CONCATENATE("R8C",'Mapa final'!$O$27),"")</f>
        <v/>
      </c>
      <c r="W53" s="69" t="str">
        <f>IF(AND('Mapa final'!$Y$28="Muy Baja",'Mapa final'!$AA$28="Moderado"),CONCATENATE("R8C",'Mapa final'!$O$28),"")</f>
        <v/>
      </c>
      <c r="X53" s="69" t="str">
        <f>IF(AND('Mapa final'!$Y$29="Muy Baja",'Mapa final'!$AA$29="Moderado"),CONCATENATE("R8C",'Mapa final'!$O$29),"")</f>
        <v/>
      </c>
      <c r="Y53" s="69" t="str">
        <f>IF(AND('Mapa final'!$Y$30="Muy Baja",'Mapa final'!$AA$30="Moderado"),CONCATENATE("R8C",'Mapa final'!$O$30),"")</f>
        <v/>
      </c>
      <c r="Z53" s="69" t="str">
        <f>IF(AND('Mapa final'!$Y$31="Muy Baja",'Mapa final'!$AA$31="Moderado"),CONCATENATE("R8C",'Mapa final'!$O$31),"")</f>
        <v/>
      </c>
      <c r="AA53" s="70" t="str">
        <f>IF(AND('Mapa final'!$Y$32="Muy Baja",'Mapa final'!$AA$32="Moderado"),CONCATENATE("R8C",'Mapa final'!$O$32),"")</f>
        <v/>
      </c>
      <c r="AB53" s="52" t="str">
        <f>IF(AND('Mapa final'!$Y$27="Muy Baja",'Mapa final'!$AA$27="Mayor"),CONCATENATE("R8C",'Mapa final'!$O$27),"")</f>
        <v/>
      </c>
      <c r="AC53" s="53" t="str">
        <f>IF(AND('Mapa final'!$Y$28="Muy Baja",'Mapa final'!$AA$28="Mayor"),CONCATENATE("R8C",'Mapa final'!$O$28),"")</f>
        <v/>
      </c>
      <c r="AD53" s="58" t="str">
        <f>IF(AND('Mapa final'!$Y$29="Muy Baja",'Mapa final'!$AA$29="Mayor"),CONCATENATE("R8C",'Mapa final'!$O$29),"")</f>
        <v/>
      </c>
      <c r="AE53" s="58" t="str">
        <f>IF(AND('Mapa final'!$Y$30="Muy Baja",'Mapa final'!$AA$30="Mayor"),CONCATENATE("R8C",'Mapa final'!$O$30),"")</f>
        <v/>
      </c>
      <c r="AF53" s="58" t="str">
        <f>IF(AND('Mapa final'!$Y$31="Muy Baja",'Mapa final'!$AA$31="Mayor"),CONCATENATE("R8C",'Mapa final'!$O$31),"")</f>
        <v/>
      </c>
      <c r="AG53" s="54" t="str">
        <f>IF(AND('Mapa final'!$Y$32="Muy Baja",'Mapa final'!$AA$32="Mayor"),CONCATENATE("R8C",'Mapa final'!$O$32),"")</f>
        <v/>
      </c>
      <c r="AH53" s="55" t="str">
        <f>IF(AND('Mapa final'!$Y$27="Muy Baja",'Mapa final'!$AA$27="Catastrófico"),CONCATENATE("R8C",'Mapa final'!$O$27),"")</f>
        <v/>
      </c>
      <c r="AI53" s="56" t="str">
        <f>IF(AND('Mapa final'!$Y$28="Muy Baja",'Mapa final'!$AA$28="Catastrófico"),CONCATENATE("R8C",'Mapa final'!$O$28),"")</f>
        <v/>
      </c>
      <c r="AJ53" s="56" t="str">
        <f>IF(AND('Mapa final'!$Y$29="Muy Baja",'Mapa final'!$AA$29="Catastrófico"),CONCATENATE("R8C",'Mapa final'!$O$29),"")</f>
        <v/>
      </c>
      <c r="AK53" s="56" t="str">
        <f>IF(AND('Mapa final'!$Y$30="Muy Baja",'Mapa final'!$AA$30="Catastrófico"),CONCATENATE("R8C",'Mapa final'!$O$30),"")</f>
        <v/>
      </c>
      <c r="AL53" s="56" t="str">
        <f>IF(AND('Mapa final'!$Y$31="Muy Baja",'Mapa final'!$AA$31="Catastrófico"),CONCATENATE("R8C",'Mapa final'!$O$31),"")</f>
        <v/>
      </c>
      <c r="AM53" s="57" t="str">
        <f>IF(AND('Mapa final'!$Y$32="Muy Baja",'Mapa final'!$AA$32="Catastrófico"),CONCATENATE("R8C",'Mapa final'!$O$32),"")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308"/>
      <c r="C54" s="308"/>
      <c r="D54" s="309"/>
      <c r="E54" s="349"/>
      <c r="F54" s="350"/>
      <c r="G54" s="350"/>
      <c r="H54" s="350"/>
      <c r="I54" s="351"/>
      <c r="J54" s="77" t="str">
        <f>IF(AND('Mapa final'!$Y$33="Muy Baja",'Mapa final'!$AA$33="Leve"),CONCATENATE("R9C",'Mapa final'!$O$33),"")</f>
        <v/>
      </c>
      <c r="K54" s="78" t="str">
        <f>IF(AND('Mapa final'!$Y$34="Muy Baja",'Mapa final'!$AA$34="Leve"),CONCATENATE("R9C",'Mapa final'!$O$34),"")</f>
        <v/>
      </c>
      <c r="L54" s="78" t="str">
        <f>IF(AND('Mapa final'!$Y$35="Muy Baja",'Mapa final'!$AA$35="Leve"),CONCATENATE("R9C",'Mapa final'!$O$35),"")</f>
        <v/>
      </c>
      <c r="M54" s="78" t="str">
        <f>IF(AND('Mapa final'!$Y$36="Muy Baja",'Mapa final'!$AA$36="Leve"),CONCATENATE("R9C",'Mapa final'!$O$36),"")</f>
        <v/>
      </c>
      <c r="N54" s="78" t="str">
        <f>IF(AND('Mapa final'!$Y$37="Muy Baja",'Mapa final'!$AA$37="Leve"),CONCATENATE("R9C",'Mapa final'!$O$37),"")</f>
        <v/>
      </c>
      <c r="O54" s="79" t="str">
        <f>IF(AND('Mapa final'!$Y$38="Muy Baja",'Mapa final'!$AA$38="Leve"),CONCATENATE("R9C",'Mapa final'!$O$38),"")</f>
        <v/>
      </c>
      <c r="P54" s="77" t="str">
        <f>IF(AND('Mapa final'!$Y$33="Muy Baja",'Mapa final'!$AA$33="Menor"),CONCATENATE("R9C",'Mapa final'!$O$33),"")</f>
        <v/>
      </c>
      <c r="Q54" s="78" t="str">
        <f>IF(AND('Mapa final'!$Y$34="Muy Baja",'Mapa final'!$AA$34="Menor"),CONCATENATE("R9C",'Mapa final'!$O$34),"")</f>
        <v/>
      </c>
      <c r="R54" s="78" t="str">
        <f>IF(AND('Mapa final'!$Y$35="Muy Baja",'Mapa final'!$AA$35="Menor"),CONCATENATE("R9C",'Mapa final'!$O$35),"")</f>
        <v/>
      </c>
      <c r="S54" s="78" t="str">
        <f>IF(AND('Mapa final'!$Y$36="Muy Baja",'Mapa final'!$AA$36="Menor"),CONCATENATE("R9C",'Mapa final'!$O$36),"")</f>
        <v/>
      </c>
      <c r="T54" s="78" t="str">
        <f>IF(AND('Mapa final'!$Y$37="Muy Baja",'Mapa final'!$AA$37="Menor"),CONCATENATE("R9C",'Mapa final'!$O$37),"")</f>
        <v/>
      </c>
      <c r="U54" s="79" t="str">
        <f>IF(AND('Mapa final'!$Y$38="Muy Baja",'Mapa final'!$AA$38="Menor"),CONCATENATE("R9C",'Mapa final'!$O$38),"")</f>
        <v/>
      </c>
      <c r="V54" s="68" t="str">
        <f>IF(AND('Mapa final'!$Y$33="Muy Baja",'Mapa final'!$AA$33="Moderado"),CONCATENATE("R9C",'Mapa final'!$O$33),"")</f>
        <v/>
      </c>
      <c r="W54" s="69" t="str">
        <f>IF(AND('Mapa final'!$Y$34="Muy Baja",'Mapa final'!$AA$34="Moderado"),CONCATENATE("R9C",'Mapa final'!$O$34),"")</f>
        <v/>
      </c>
      <c r="X54" s="69" t="str">
        <f>IF(AND('Mapa final'!$Y$35="Muy Baja",'Mapa final'!$AA$35="Moderado"),CONCATENATE("R9C",'Mapa final'!$O$35),"")</f>
        <v/>
      </c>
      <c r="Y54" s="69" t="str">
        <f>IF(AND('Mapa final'!$Y$36="Muy Baja",'Mapa final'!$AA$36="Moderado"),CONCATENATE("R9C",'Mapa final'!$O$36),"")</f>
        <v/>
      </c>
      <c r="Z54" s="69" t="str">
        <f>IF(AND('Mapa final'!$Y$37="Muy Baja",'Mapa final'!$AA$37="Moderado"),CONCATENATE("R9C",'Mapa final'!$O$37),"")</f>
        <v/>
      </c>
      <c r="AA54" s="70" t="str">
        <f>IF(AND('Mapa final'!$Y$38="Muy Baja",'Mapa final'!$AA$38="Moderado"),CONCATENATE("R9C",'Mapa final'!$O$38),"")</f>
        <v/>
      </c>
      <c r="AB54" s="52" t="str">
        <f>IF(AND('Mapa final'!$Y$33="Muy Baja",'Mapa final'!$AA$33="Mayor"),CONCATENATE("R9C",'Mapa final'!$O$33),"")</f>
        <v/>
      </c>
      <c r="AC54" s="53" t="str">
        <f>IF(AND('Mapa final'!$Y$34="Muy Baja",'Mapa final'!$AA$34="Mayor"),CONCATENATE("R9C",'Mapa final'!$O$34),"")</f>
        <v/>
      </c>
      <c r="AD54" s="58" t="str">
        <f>IF(AND('Mapa final'!$Y$35="Muy Baja",'Mapa final'!$AA$35="Mayor"),CONCATENATE("R9C",'Mapa final'!$O$35),"")</f>
        <v/>
      </c>
      <c r="AE54" s="58" t="str">
        <f>IF(AND('Mapa final'!$Y$36="Muy Baja",'Mapa final'!$AA$36="Mayor"),CONCATENATE("R9C",'Mapa final'!$O$36),"")</f>
        <v/>
      </c>
      <c r="AF54" s="58" t="str">
        <f>IF(AND('Mapa final'!$Y$37="Muy Baja",'Mapa final'!$AA$37="Mayor"),CONCATENATE("R9C",'Mapa final'!$O$37),"")</f>
        <v/>
      </c>
      <c r="AG54" s="54" t="str">
        <f>IF(AND('Mapa final'!$Y$38="Muy Baja",'Mapa final'!$AA$38="Mayor"),CONCATENATE("R9C",'Mapa final'!$O$38),"")</f>
        <v/>
      </c>
      <c r="AH54" s="55" t="str">
        <f>IF(AND('Mapa final'!$Y$33="Muy Baja",'Mapa final'!$AA$33="Catastrófico"),CONCATENATE("R9C",'Mapa final'!$O$33),"")</f>
        <v/>
      </c>
      <c r="AI54" s="56" t="str">
        <f>IF(AND('Mapa final'!$Y$34="Muy Baja",'Mapa final'!$AA$34="Catastrófico"),CONCATENATE("R9C",'Mapa final'!$O$34),"")</f>
        <v/>
      </c>
      <c r="AJ54" s="56" t="str">
        <f>IF(AND('Mapa final'!$Y$35="Muy Baja",'Mapa final'!$AA$35="Catastrófico"),CONCATENATE("R9C",'Mapa final'!$O$35),"")</f>
        <v/>
      </c>
      <c r="AK54" s="56" t="str">
        <f>IF(AND('Mapa final'!$Y$36="Muy Baja",'Mapa final'!$AA$36="Catastrófico"),CONCATENATE("R9C",'Mapa final'!$O$36),"")</f>
        <v/>
      </c>
      <c r="AL54" s="56" t="str">
        <f>IF(AND('Mapa final'!$Y$37="Muy Baja",'Mapa final'!$AA$37="Catastrófico"),CONCATENATE("R9C",'Mapa final'!$O$37),"")</f>
        <v/>
      </c>
      <c r="AM54" s="57" t="str">
        <f>IF(AND('Mapa final'!$Y$38="Muy Baja",'Mapa final'!$AA$38="Catastrófico"),CONCATENATE("R9C",'Mapa final'!$O$38),"")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308"/>
      <c r="C55" s="308"/>
      <c r="D55" s="309"/>
      <c r="E55" s="352"/>
      <c r="F55" s="353"/>
      <c r="G55" s="353"/>
      <c r="H55" s="353"/>
      <c r="I55" s="354"/>
      <c r="J55" s="80" t="str">
        <f>IF(AND('Mapa final'!$Y$39="Muy Baja",'Mapa final'!$AA$39="Leve"),CONCATENATE("R10C",'Mapa final'!$O$39),"")</f>
        <v/>
      </c>
      <c r="K55" s="81" t="str">
        <f>IF(AND('Mapa final'!$Y$40="Muy Baja",'Mapa final'!$AA$40="Leve"),CONCATENATE("R10C",'Mapa final'!$O$40),"")</f>
        <v/>
      </c>
      <c r="L55" s="81" t="str">
        <f>IF(AND('Mapa final'!$Y$41="Muy Baja",'Mapa final'!$AA$41="Leve"),CONCATENATE("R10C",'Mapa final'!$O$41),"")</f>
        <v/>
      </c>
      <c r="M55" s="81" t="str">
        <f>IF(AND('Mapa final'!$Y$42="Muy Baja",'Mapa final'!$AA$42="Leve"),CONCATENATE("R10C",'Mapa final'!$O$42),"")</f>
        <v/>
      </c>
      <c r="N55" s="81" t="str">
        <f>IF(AND('Mapa final'!$Y$43="Muy Baja",'Mapa final'!$AA$43="Leve"),CONCATENATE("R10C",'Mapa final'!$O$43),"")</f>
        <v/>
      </c>
      <c r="O55" s="82" t="str">
        <f>IF(AND('Mapa final'!$Y$44="Muy Baja",'Mapa final'!$AA$44="Leve"),CONCATENATE("R10C",'Mapa final'!$O$44),"")</f>
        <v/>
      </c>
      <c r="P55" s="80" t="str">
        <f>IF(AND('Mapa final'!$Y$39="Muy Baja",'Mapa final'!$AA$39="Menor"),CONCATENATE("R10C",'Mapa final'!$O$39),"")</f>
        <v/>
      </c>
      <c r="Q55" s="81" t="str">
        <f>IF(AND('Mapa final'!$Y$40="Muy Baja",'Mapa final'!$AA$40="Menor"),CONCATENATE("R10C",'Mapa final'!$O$40),"")</f>
        <v/>
      </c>
      <c r="R55" s="81" t="str">
        <f>IF(AND('Mapa final'!$Y$41="Muy Baja",'Mapa final'!$AA$41="Menor"),CONCATENATE("R10C",'Mapa final'!$O$41),"")</f>
        <v/>
      </c>
      <c r="S55" s="81" t="str">
        <f>IF(AND('Mapa final'!$Y$42="Muy Baja",'Mapa final'!$AA$42="Menor"),CONCATENATE("R10C",'Mapa final'!$O$42),"")</f>
        <v/>
      </c>
      <c r="T55" s="81" t="str">
        <f>IF(AND('Mapa final'!$Y$43="Muy Baja",'Mapa final'!$AA$43="Menor"),CONCATENATE("R10C",'Mapa final'!$O$43),"")</f>
        <v/>
      </c>
      <c r="U55" s="82" t="str">
        <f>IF(AND('Mapa final'!$Y$44="Muy Baja",'Mapa final'!$AA$44="Menor"),CONCATENATE("R10C",'Mapa final'!$O$44),"")</f>
        <v/>
      </c>
      <c r="V55" s="71" t="str">
        <f>IF(AND('Mapa final'!$Y$39="Muy Baja",'Mapa final'!$AA$39="Moderado"),CONCATENATE("R10C",'Mapa final'!$O$39),"")</f>
        <v/>
      </c>
      <c r="W55" s="72" t="str">
        <f>IF(AND('Mapa final'!$Y$40="Muy Baja",'Mapa final'!$AA$40="Moderado"),CONCATENATE("R10C",'Mapa final'!$O$40),"")</f>
        <v/>
      </c>
      <c r="X55" s="72" t="str">
        <f>IF(AND('Mapa final'!$Y$41="Muy Baja",'Mapa final'!$AA$41="Moderado"),CONCATENATE("R10C",'Mapa final'!$O$41),"")</f>
        <v/>
      </c>
      <c r="Y55" s="72" t="str">
        <f>IF(AND('Mapa final'!$Y$42="Muy Baja",'Mapa final'!$AA$42="Moderado"),CONCATENATE("R10C",'Mapa final'!$O$42),"")</f>
        <v/>
      </c>
      <c r="Z55" s="72" t="str">
        <f>IF(AND('Mapa final'!$Y$43="Muy Baja",'Mapa final'!$AA$43="Moderado"),CONCATENATE("R10C",'Mapa final'!$O$43),"")</f>
        <v/>
      </c>
      <c r="AA55" s="73" t="str">
        <f>IF(AND('Mapa final'!$Y$44="Muy Baja",'Mapa final'!$AA$44="Moderado"),CONCATENATE("R10C",'Mapa final'!$O$44),"")</f>
        <v/>
      </c>
      <c r="AB55" s="59" t="str">
        <f>IF(AND('Mapa final'!$Y$39="Muy Baja",'Mapa final'!$AA$39="Mayor"),CONCATENATE("R10C",'Mapa final'!$O$39),"")</f>
        <v/>
      </c>
      <c r="AC55" s="60" t="str">
        <f>IF(AND('Mapa final'!$Y$40="Muy Baja",'Mapa final'!$AA$40="Mayor"),CONCATENATE("R10C",'Mapa final'!$O$40),"")</f>
        <v/>
      </c>
      <c r="AD55" s="60" t="str">
        <f>IF(AND('Mapa final'!$Y$41="Muy Baja",'Mapa final'!$AA$41="Mayor"),CONCATENATE("R10C",'Mapa final'!$O$41),"")</f>
        <v/>
      </c>
      <c r="AE55" s="60" t="str">
        <f>IF(AND('Mapa final'!$Y$42="Muy Baja",'Mapa final'!$AA$42="Mayor"),CONCATENATE("R10C",'Mapa final'!$O$42),"")</f>
        <v/>
      </c>
      <c r="AF55" s="60" t="str">
        <f>IF(AND('Mapa final'!$Y$43="Muy Baja",'Mapa final'!$AA$43="Mayor"),CONCATENATE("R10C",'Mapa final'!$O$43),"")</f>
        <v/>
      </c>
      <c r="AG55" s="61" t="str">
        <f>IF(AND('Mapa final'!$Y$44="Muy Baja",'Mapa final'!$AA$44="Mayor"),CONCATENATE("R10C",'Mapa final'!$O$44),"")</f>
        <v/>
      </c>
      <c r="AH55" s="62" t="str">
        <f>IF(AND('Mapa final'!$Y$39="Muy Baja",'Mapa final'!$AA$39="Catastrófico"),CONCATENATE("R10C",'Mapa final'!$O$39),"")</f>
        <v/>
      </c>
      <c r="AI55" s="63" t="str">
        <f>IF(AND('Mapa final'!$Y$40="Muy Baja",'Mapa final'!$AA$40="Catastrófico"),CONCATENATE("R10C",'Mapa final'!$O$40),"")</f>
        <v/>
      </c>
      <c r="AJ55" s="63" t="str">
        <f>IF(AND('Mapa final'!$Y$41="Muy Baja",'Mapa final'!$AA$41="Catastrófico"),CONCATENATE("R10C",'Mapa final'!$O$41),"")</f>
        <v/>
      </c>
      <c r="AK55" s="63" t="str">
        <f>IF(AND('Mapa final'!$Y$42="Muy Baja",'Mapa final'!$AA$42="Catastrófico"),CONCATENATE("R10C",'Mapa final'!$O$42),"")</f>
        <v/>
      </c>
      <c r="AL55" s="63" t="str">
        <f>IF(AND('Mapa final'!$Y$43="Muy Baja",'Mapa final'!$AA$43="Catastrófico"),CONCATENATE("R10C",'Mapa final'!$O$43),"")</f>
        <v/>
      </c>
      <c r="AM55" s="64" t="str">
        <f>IF(AND('Mapa final'!$Y$44="Muy Baja",'Mapa final'!$AA$44="Catastrófico"),CONCATENATE("R10C",'Mapa final'!$O$44),"")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46" t="s">
        <v>112</v>
      </c>
      <c r="K56" s="347"/>
      <c r="L56" s="347"/>
      <c r="M56" s="347"/>
      <c r="N56" s="347"/>
      <c r="O56" s="348"/>
      <c r="P56" s="346" t="s">
        <v>111</v>
      </c>
      <c r="Q56" s="347"/>
      <c r="R56" s="347"/>
      <c r="S56" s="347"/>
      <c r="T56" s="347"/>
      <c r="U56" s="348"/>
      <c r="V56" s="346" t="s">
        <v>110</v>
      </c>
      <c r="W56" s="347"/>
      <c r="X56" s="347"/>
      <c r="Y56" s="347"/>
      <c r="Z56" s="347"/>
      <c r="AA56" s="348"/>
      <c r="AB56" s="346" t="s">
        <v>109</v>
      </c>
      <c r="AC56" s="355"/>
      <c r="AD56" s="347"/>
      <c r="AE56" s="347"/>
      <c r="AF56" s="347"/>
      <c r="AG56" s="348"/>
      <c r="AH56" s="346" t="s">
        <v>108</v>
      </c>
      <c r="AI56" s="347"/>
      <c r="AJ56" s="347"/>
      <c r="AK56" s="347"/>
      <c r="AL56" s="347"/>
      <c r="AM56" s="34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49"/>
      <c r="K57" s="350"/>
      <c r="L57" s="350"/>
      <c r="M57" s="350"/>
      <c r="N57" s="350"/>
      <c r="O57" s="351"/>
      <c r="P57" s="349"/>
      <c r="Q57" s="350"/>
      <c r="R57" s="350"/>
      <c r="S57" s="350"/>
      <c r="T57" s="350"/>
      <c r="U57" s="351"/>
      <c r="V57" s="349"/>
      <c r="W57" s="350"/>
      <c r="X57" s="350"/>
      <c r="Y57" s="350"/>
      <c r="Z57" s="350"/>
      <c r="AA57" s="351"/>
      <c r="AB57" s="349"/>
      <c r="AC57" s="350"/>
      <c r="AD57" s="350"/>
      <c r="AE57" s="350"/>
      <c r="AF57" s="350"/>
      <c r="AG57" s="351"/>
      <c r="AH57" s="349"/>
      <c r="AI57" s="350"/>
      <c r="AJ57" s="350"/>
      <c r="AK57" s="350"/>
      <c r="AL57" s="350"/>
      <c r="AM57" s="35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49"/>
      <c r="K58" s="350"/>
      <c r="L58" s="350"/>
      <c r="M58" s="350"/>
      <c r="N58" s="350"/>
      <c r="O58" s="351"/>
      <c r="P58" s="349"/>
      <c r="Q58" s="350"/>
      <c r="R58" s="350"/>
      <c r="S58" s="350"/>
      <c r="T58" s="350"/>
      <c r="U58" s="351"/>
      <c r="V58" s="349"/>
      <c r="W58" s="350"/>
      <c r="X58" s="350"/>
      <c r="Y58" s="350"/>
      <c r="Z58" s="350"/>
      <c r="AA58" s="351"/>
      <c r="AB58" s="349"/>
      <c r="AC58" s="350"/>
      <c r="AD58" s="350"/>
      <c r="AE58" s="350"/>
      <c r="AF58" s="350"/>
      <c r="AG58" s="351"/>
      <c r="AH58" s="349"/>
      <c r="AI58" s="350"/>
      <c r="AJ58" s="350"/>
      <c r="AK58" s="350"/>
      <c r="AL58" s="350"/>
      <c r="AM58" s="35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49"/>
      <c r="K59" s="350"/>
      <c r="L59" s="350"/>
      <c r="M59" s="350"/>
      <c r="N59" s="350"/>
      <c r="O59" s="351"/>
      <c r="P59" s="349"/>
      <c r="Q59" s="350"/>
      <c r="R59" s="350"/>
      <c r="S59" s="350"/>
      <c r="T59" s="350"/>
      <c r="U59" s="351"/>
      <c r="V59" s="349"/>
      <c r="W59" s="350"/>
      <c r="X59" s="350"/>
      <c r="Y59" s="350"/>
      <c r="Z59" s="350"/>
      <c r="AA59" s="351"/>
      <c r="AB59" s="349"/>
      <c r="AC59" s="350"/>
      <c r="AD59" s="350"/>
      <c r="AE59" s="350"/>
      <c r="AF59" s="350"/>
      <c r="AG59" s="351"/>
      <c r="AH59" s="349"/>
      <c r="AI59" s="350"/>
      <c r="AJ59" s="350"/>
      <c r="AK59" s="350"/>
      <c r="AL59" s="350"/>
      <c r="AM59" s="35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49"/>
      <c r="K60" s="350"/>
      <c r="L60" s="350"/>
      <c r="M60" s="350"/>
      <c r="N60" s="350"/>
      <c r="O60" s="351"/>
      <c r="P60" s="349"/>
      <c r="Q60" s="350"/>
      <c r="R60" s="350"/>
      <c r="S60" s="350"/>
      <c r="T60" s="350"/>
      <c r="U60" s="351"/>
      <c r="V60" s="349"/>
      <c r="W60" s="350"/>
      <c r="X60" s="350"/>
      <c r="Y60" s="350"/>
      <c r="Z60" s="350"/>
      <c r="AA60" s="351"/>
      <c r="AB60" s="349"/>
      <c r="AC60" s="350"/>
      <c r="AD60" s="350"/>
      <c r="AE60" s="350"/>
      <c r="AF60" s="350"/>
      <c r="AG60" s="351"/>
      <c r="AH60" s="349"/>
      <c r="AI60" s="350"/>
      <c r="AJ60" s="350"/>
      <c r="AK60" s="350"/>
      <c r="AL60" s="350"/>
      <c r="AM60" s="35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52"/>
      <c r="K61" s="353"/>
      <c r="L61" s="353"/>
      <c r="M61" s="353"/>
      <c r="N61" s="353"/>
      <c r="O61" s="354"/>
      <c r="P61" s="352"/>
      <c r="Q61" s="353"/>
      <c r="R61" s="353"/>
      <c r="S61" s="353"/>
      <c r="T61" s="353"/>
      <c r="U61" s="354"/>
      <c r="V61" s="352"/>
      <c r="W61" s="353"/>
      <c r="X61" s="353"/>
      <c r="Y61" s="353"/>
      <c r="Z61" s="353"/>
      <c r="AA61" s="354"/>
      <c r="AB61" s="352"/>
      <c r="AC61" s="353"/>
      <c r="AD61" s="353"/>
      <c r="AE61" s="353"/>
      <c r="AF61" s="353"/>
      <c r="AG61" s="354"/>
      <c r="AH61" s="352"/>
      <c r="AI61" s="353"/>
      <c r="AJ61" s="353"/>
      <c r="AK61" s="353"/>
      <c r="AL61" s="353"/>
      <c r="AM61" s="35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396" t="s">
        <v>55</v>
      </c>
      <c r="C1" s="396"/>
      <c r="D1" s="39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397" t="s">
        <v>63</v>
      </c>
      <c r="C1" s="397"/>
      <c r="D1" s="397"/>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398" t="s">
        <v>78</v>
      </c>
      <c r="C1" s="399"/>
      <c r="D1" s="399"/>
      <c r="E1" s="399"/>
      <c r="F1" s="400"/>
    </row>
    <row r="2" spans="2:6" ht="16.3" thickBot="1" x14ac:dyDescent="0.5">
      <c r="B2" s="90"/>
      <c r="C2" s="90"/>
      <c r="D2" s="90"/>
      <c r="E2" s="90"/>
      <c r="F2" s="90"/>
    </row>
    <row r="3" spans="2:6" ht="15.9" thickBot="1" x14ac:dyDescent="0.4">
      <c r="B3" s="402" t="s">
        <v>64</v>
      </c>
      <c r="C3" s="403"/>
      <c r="D3" s="403"/>
      <c r="E3" s="102" t="s">
        <v>65</v>
      </c>
      <c r="F3" s="103" t="s">
        <v>66</v>
      </c>
    </row>
    <row r="4" spans="2:6" ht="30.9" x14ac:dyDescent="0.35">
      <c r="B4" s="404" t="s">
        <v>67</v>
      </c>
      <c r="C4" s="406" t="s">
        <v>13</v>
      </c>
      <c r="D4" s="91" t="s">
        <v>14</v>
      </c>
      <c r="E4" s="92" t="s">
        <v>68</v>
      </c>
      <c r="F4" s="93">
        <v>0.25</v>
      </c>
    </row>
    <row r="5" spans="2:6" ht="46.3" x14ac:dyDescent="0.35">
      <c r="B5" s="405"/>
      <c r="C5" s="407"/>
      <c r="D5" s="94" t="s">
        <v>15</v>
      </c>
      <c r="E5" s="95" t="s">
        <v>69</v>
      </c>
      <c r="F5" s="96">
        <v>0.15</v>
      </c>
    </row>
    <row r="6" spans="2:6" ht="46.3" x14ac:dyDescent="0.35">
      <c r="B6" s="405"/>
      <c r="C6" s="407"/>
      <c r="D6" s="94" t="s">
        <v>16</v>
      </c>
      <c r="E6" s="95" t="s">
        <v>70</v>
      </c>
      <c r="F6" s="96">
        <v>0.1</v>
      </c>
    </row>
    <row r="7" spans="2:6" ht="61.75" x14ac:dyDescent="0.35">
      <c r="B7" s="405"/>
      <c r="C7" s="407" t="s">
        <v>17</v>
      </c>
      <c r="D7" s="94" t="s">
        <v>10</v>
      </c>
      <c r="E7" s="95" t="s">
        <v>71</v>
      </c>
      <c r="F7" s="96">
        <v>0.25</v>
      </c>
    </row>
    <row r="8" spans="2:6" ht="30.9" x14ac:dyDescent="0.35">
      <c r="B8" s="405"/>
      <c r="C8" s="407"/>
      <c r="D8" s="94" t="s">
        <v>9</v>
      </c>
      <c r="E8" s="95" t="s">
        <v>72</v>
      </c>
      <c r="F8" s="96">
        <v>0.15</v>
      </c>
    </row>
    <row r="9" spans="2:6" ht="46.3" x14ac:dyDescent="0.35">
      <c r="B9" s="405" t="s">
        <v>162</v>
      </c>
      <c r="C9" s="407" t="s">
        <v>18</v>
      </c>
      <c r="D9" s="94" t="s">
        <v>19</v>
      </c>
      <c r="E9" s="95" t="s">
        <v>73</v>
      </c>
      <c r="F9" s="97" t="s">
        <v>74</v>
      </c>
    </row>
    <row r="10" spans="2:6" ht="46.3" x14ac:dyDescent="0.35">
      <c r="B10" s="405"/>
      <c r="C10" s="407"/>
      <c r="D10" s="94" t="s">
        <v>20</v>
      </c>
      <c r="E10" s="95" t="s">
        <v>75</v>
      </c>
      <c r="F10" s="97" t="s">
        <v>74</v>
      </c>
    </row>
    <row r="11" spans="2:6" ht="30.9" x14ac:dyDescent="0.35">
      <c r="B11" s="405"/>
      <c r="C11" s="407" t="s">
        <v>21</v>
      </c>
      <c r="D11" s="94" t="s">
        <v>22</v>
      </c>
      <c r="E11" s="95" t="s">
        <v>76</v>
      </c>
      <c r="F11" s="97" t="s">
        <v>74</v>
      </c>
    </row>
    <row r="12" spans="2:6" ht="46.3" x14ac:dyDescent="0.35">
      <c r="B12" s="405"/>
      <c r="C12" s="407"/>
      <c r="D12" s="94" t="s">
        <v>23</v>
      </c>
      <c r="E12" s="95" t="s">
        <v>77</v>
      </c>
      <c r="F12" s="97" t="s">
        <v>74</v>
      </c>
    </row>
    <row r="13" spans="2:6" ht="30.9" x14ac:dyDescent="0.35">
      <c r="B13" s="405"/>
      <c r="C13" s="407" t="s">
        <v>24</v>
      </c>
      <c r="D13" s="94" t="s">
        <v>119</v>
      </c>
      <c r="E13" s="95" t="s">
        <v>122</v>
      </c>
      <c r="F13" s="97" t="s">
        <v>74</v>
      </c>
    </row>
    <row r="14" spans="2:6" ht="15.9" thickBot="1" x14ac:dyDescent="0.4">
      <c r="B14" s="408"/>
      <c r="C14" s="409"/>
      <c r="D14" s="98" t="s">
        <v>120</v>
      </c>
      <c r="E14" s="99" t="s">
        <v>121</v>
      </c>
      <c r="F14" s="100" t="s">
        <v>74</v>
      </c>
    </row>
    <row r="15" spans="2:6" ht="49.5" customHeight="1" x14ac:dyDescent="0.35">
      <c r="B15" s="401" t="s">
        <v>159</v>
      </c>
      <c r="C15" s="401"/>
      <c r="D15" s="401"/>
      <c r="E15" s="401"/>
      <c r="F15" s="401"/>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2023-07-28T14:17:49Z</dcterms:modified>
</cp:coreProperties>
</file>