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iliana Lamprea A\Documents\01 Proyectos\06 EDAT\03 Documentos\05 Evidencias\04 Riesgos\Mapas de Riesgos 2022\Mapas de Riesgos - Con segumiento 2022\"/>
    </mc:Choice>
  </mc:AlternateContent>
  <bookViews>
    <workbookView xWindow="0" yWindow="0" windowWidth="16457" windowHeight="5254"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3"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T10" i="1" l="1"/>
  <c r="Q10" i="1"/>
  <c r="K28" i="1"/>
  <c r="K16" i="1"/>
  <c r="K18" i="1"/>
  <c r="K23" i="1"/>
  <c r="K15" i="1"/>
  <c r="K12" i="1"/>
  <c r="K27" i="1"/>
  <c r="K33" i="1"/>
  <c r="K36" i="1"/>
  <c r="K24" i="1"/>
  <c r="K19" i="1"/>
  <c r="K41" i="1"/>
  <c r="K30" i="1"/>
  <c r="K29" i="1"/>
  <c r="K40" i="1"/>
  <c r="K34" i="1"/>
  <c r="K43" i="1"/>
  <c r="K42" i="1"/>
  <c r="K45" i="1"/>
  <c r="K25" i="1"/>
  <c r="K17" i="1"/>
  <c r="K37" i="1"/>
  <c r="K46" i="1"/>
  <c r="K39" i="1"/>
  <c r="K35" i="1"/>
  <c r="K49" i="1"/>
  <c r="K21" i="1"/>
  <c r="K47" i="1"/>
  <c r="K22" i="1"/>
  <c r="K48" i="1"/>
  <c r="K31" i="1"/>
  <c r="F221" i="13" l="1"/>
  <c r="F211" i="13"/>
  <c r="F212" i="13"/>
  <c r="F213" i="13"/>
  <c r="F214" i="13"/>
  <c r="F215" i="13"/>
  <c r="F216" i="13"/>
  <c r="F217" i="13"/>
  <c r="F218" i="13"/>
  <c r="F219" i="13"/>
  <c r="F220" i="13"/>
  <c r="F210" i="13"/>
  <c r="B221" i="13" a="1"/>
  <c r="B221" i="13" l="1"/>
  <c r="Q32" i="1"/>
  <c r="Q27" i="1"/>
  <c r="Q2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49" i="1" l="1"/>
  <c r="Q49" i="1"/>
  <c r="T48" i="1"/>
  <c r="Q48" i="1"/>
  <c r="T47" i="1"/>
  <c r="Q47" i="1"/>
  <c r="T46" i="1"/>
  <c r="Q46" i="1"/>
  <c r="T45" i="1"/>
  <c r="Q45" i="1"/>
  <c r="T44" i="1"/>
  <c r="Q44" i="1"/>
  <c r="AB45" i="1" s="1"/>
  <c r="H44" i="1"/>
  <c r="I44" i="1" s="1"/>
  <c r="T43" i="1"/>
  <c r="Q43" i="1"/>
  <c r="T42" i="1"/>
  <c r="Q42" i="1"/>
  <c r="T41" i="1"/>
  <c r="Q41" i="1"/>
  <c r="T40" i="1"/>
  <c r="Q40" i="1"/>
  <c r="T39" i="1"/>
  <c r="Q39" i="1"/>
  <c r="T38" i="1"/>
  <c r="Q38" i="1"/>
  <c r="H38" i="1"/>
  <c r="I38" i="1" s="1"/>
  <c r="T37" i="1"/>
  <c r="Q37" i="1"/>
  <c r="T36" i="1"/>
  <c r="Q36" i="1"/>
  <c r="T35" i="1"/>
  <c r="Q35" i="1"/>
  <c r="T34" i="1"/>
  <c r="Q34" i="1"/>
  <c r="T33" i="1"/>
  <c r="Q33" i="1"/>
  <c r="AB33" i="1" s="1"/>
  <c r="T32" i="1"/>
  <c r="H32" i="1"/>
  <c r="I32" i="1" s="1"/>
  <c r="T31" i="1"/>
  <c r="Q31" i="1"/>
  <c r="T30" i="1"/>
  <c r="Q30" i="1"/>
  <c r="T29" i="1"/>
  <c r="Q29" i="1"/>
  <c r="T28" i="1"/>
  <c r="Q28" i="1"/>
  <c r="T27" i="1"/>
  <c r="T26" i="1"/>
  <c r="Q26" i="1"/>
  <c r="AB27" i="1" s="1"/>
  <c r="H26" i="1"/>
  <c r="I26" i="1" s="1"/>
  <c r="T25" i="1"/>
  <c r="Q25" i="1"/>
  <c r="T24" i="1"/>
  <c r="Q24" i="1"/>
  <c r="T23" i="1"/>
  <c r="Q23" i="1"/>
  <c r="T22" i="1"/>
  <c r="Q22" i="1"/>
  <c r="T21" i="1"/>
  <c r="T20" i="1"/>
  <c r="Q20" i="1"/>
  <c r="AB21" i="1" s="1"/>
  <c r="H20" i="1"/>
  <c r="I20" i="1" s="1"/>
  <c r="T19" i="1"/>
  <c r="Q19" i="1"/>
  <c r="T18" i="1"/>
  <c r="Q18" i="1"/>
  <c r="T17" i="1"/>
  <c r="Q17" i="1"/>
  <c r="T16" i="1"/>
  <c r="Q16" i="1"/>
  <c r="T15" i="1"/>
  <c r="Q15" i="1"/>
  <c r="T14" i="1"/>
  <c r="Q14" i="1"/>
  <c r="H14" i="1"/>
  <c r="I14" i="1" s="1"/>
  <c r="T13" i="1"/>
  <c r="Q13" i="1"/>
  <c r="I13" i="1"/>
  <c r="T12" i="1"/>
  <c r="Q12" i="1"/>
  <c r="AB12" i="1" s="1"/>
  <c r="T11" i="1"/>
  <c r="Q11" i="1"/>
  <c r="AB15" i="1" l="1"/>
  <c r="AB39" i="1"/>
  <c r="AB30" i="1"/>
  <c r="AA30" i="1" s="1"/>
  <c r="AB31" i="1"/>
  <c r="AA31" i="1" s="1"/>
  <c r="I11" i="1"/>
  <c r="X44" i="1"/>
  <c r="X38" i="1"/>
  <c r="X32" i="1"/>
  <c r="X26" i="1"/>
  <c r="X30" i="1"/>
  <c r="X31" i="1"/>
  <c r="X20" i="1"/>
  <c r="X14" i="1"/>
  <c r="X13" i="1"/>
  <c r="X11" i="1"/>
  <c r="Y44" i="1" l="1"/>
  <c r="Z44" i="1"/>
  <c r="X45" i="1" s="1"/>
  <c r="Y45" i="1" s="1"/>
  <c r="Y38" i="1"/>
  <c r="Z38" i="1"/>
  <c r="X39" i="1" s="1"/>
  <c r="Z39" i="1" s="1"/>
  <c r="X40" i="1" s="1"/>
  <c r="Y32" i="1"/>
  <c r="Z32" i="1"/>
  <c r="X33" i="1" s="1"/>
  <c r="Z33" i="1" s="1"/>
  <c r="X34" i="1" s="1"/>
  <c r="Y31" i="1"/>
  <c r="Z31" i="1"/>
  <c r="Y30" i="1"/>
  <c r="Z30" i="1"/>
  <c r="Y26" i="1"/>
  <c r="Z26" i="1"/>
  <c r="Y20" i="1"/>
  <c r="Z20" i="1"/>
  <c r="X21" i="1" s="1"/>
  <c r="Z21" i="1" s="1"/>
  <c r="X22" i="1" s="1"/>
  <c r="Y14" i="1"/>
  <c r="Z14" i="1"/>
  <c r="Y13" i="1"/>
  <c r="Z13" i="1"/>
  <c r="X12" i="1"/>
  <c r="Y11" i="1"/>
  <c r="Z11" i="1"/>
  <c r="Y39" i="1" l="1"/>
  <c r="Y33" i="1"/>
  <c r="Z12" i="1"/>
  <c r="Y21" i="1"/>
  <c r="Y22" i="1"/>
  <c r="Z22" i="1"/>
  <c r="Z40" i="1"/>
  <c r="X41" i="1" s="1"/>
  <c r="Y40" i="1"/>
  <c r="Z34" i="1"/>
  <c r="X35" i="1" s="1"/>
  <c r="Y34" i="1"/>
  <c r="Z45" i="1"/>
  <c r="X46" i="1" s="1"/>
  <c r="X15" i="1"/>
  <c r="X27" i="1"/>
  <c r="X2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0" i="1"/>
  <c r="AC31" i="1"/>
  <c r="Y41" i="1" l="1"/>
  <c r="Z41" i="1"/>
  <c r="Y35" i="1"/>
  <c r="Z35" i="1"/>
  <c r="X36" i="1" s="1"/>
  <c r="Y28" i="1"/>
  <c r="Z28" i="1"/>
  <c r="X29" i="1" s="1"/>
  <c r="Y46" i="1"/>
  <c r="Z46" i="1"/>
  <c r="X47" i="1" s="1"/>
  <c r="Y27" i="1"/>
  <c r="Z27" i="1"/>
  <c r="X23" i="1"/>
  <c r="Y15" i="1"/>
  <c r="Z15" i="1"/>
  <c r="X16" i="1" s="1"/>
  <c r="Y16" i="1" s="1"/>
  <c r="Z16" i="1" l="1"/>
  <c r="X17" i="1" s="1"/>
  <c r="Z17" i="1" s="1"/>
  <c r="X18" i="1" s="1"/>
  <c r="Y36" i="1"/>
  <c r="Z36" i="1"/>
  <c r="X37" i="1" s="1"/>
  <c r="X42" i="1"/>
  <c r="X43" i="1"/>
  <c r="Y23" i="1"/>
  <c r="Z23" i="1"/>
  <c r="X24" i="1" s="1"/>
  <c r="Y24" i="1" s="1"/>
  <c r="Y17" i="1"/>
  <c r="Y29" i="1"/>
  <c r="Z29" i="1"/>
  <c r="Z47" i="1"/>
  <c r="Y47" i="1"/>
  <c r="Y43" i="1" l="1"/>
  <c r="Z43" i="1"/>
  <c r="Y42" i="1"/>
  <c r="Z42" i="1"/>
  <c r="Y37" i="1"/>
  <c r="Z37" i="1"/>
  <c r="X48" i="1"/>
  <c r="X49" i="1"/>
  <c r="Z24" i="1"/>
  <c r="X25" i="1" s="1"/>
  <c r="Y25" i="1" s="1"/>
  <c r="Z18" i="1"/>
  <c r="X19" i="1" s="1"/>
  <c r="Y18" i="1"/>
  <c r="X10" i="1"/>
  <c r="Y10" i="1" s="1"/>
  <c r="Y49" i="1" l="1"/>
  <c r="Z49" i="1"/>
  <c r="Y48" i="1"/>
  <c r="Z48" i="1"/>
  <c r="Y19" i="1"/>
  <c r="Z19" i="1"/>
  <c r="Z25" i="1"/>
  <c r="Z10" i="1" l="1"/>
  <c r="AB46" i="1" l="1"/>
  <c r="AB38" i="1"/>
  <c r="AB20" i="1"/>
  <c r="AA20" i="1" s="1"/>
  <c r="AB32" i="1"/>
  <c r="AA32" i="1" s="1"/>
  <c r="AB26" i="1"/>
  <c r="AA26" i="1" s="1"/>
  <c r="AB14" i="1"/>
  <c r="AA14" i="1" s="1"/>
  <c r="J40" i="19" l="1"/>
  <c r="V30" i="19"/>
  <c r="AH20" i="19"/>
  <c r="J30" i="19"/>
  <c r="V20" i="19"/>
  <c r="AH10" i="19"/>
  <c r="P10" i="19"/>
  <c r="AB50" i="19"/>
  <c r="J50" i="19"/>
  <c r="AB40" i="19"/>
  <c r="P30" i="19"/>
  <c r="V50" i="19"/>
  <c r="P50" i="19"/>
  <c r="AB10" i="19"/>
  <c r="AH30" i="19"/>
  <c r="AH40" i="19"/>
  <c r="J10" i="19"/>
  <c r="AB20" i="19"/>
  <c r="AH50" i="19"/>
  <c r="AC14" i="1"/>
  <c r="V10" i="19"/>
  <c r="P20" i="19"/>
  <c r="J20" i="19"/>
  <c r="P40" i="19"/>
  <c r="V40" i="19"/>
  <c r="AB30" i="19"/>
  <c r="J11" i="19"/>
  <c r="V11" i="19"/>
  <c r="AB21" i="19"/>
  <c r="P31" i="19"/>
  <c r="J31" i="19"/>
  <c r="AB41" i="19"/>
  <c r="AC20" i="1"/>
  <c r="AH41" i="19"/>
  <c r="P41" i="19"/>
  <c r="J21" i="19"/>
  <c r="AB31" i="19"/>
  <c r="AB51" i="19"/>
  <c r="P21" i="19"/>
  <c r="V41" i="19"/>
  <c r="V31" i="19"/>
  <c r="AH21" i="19"/>
  <c r="AB11" i="19"/>
  <c r="P51" i="19"/>
  <c r="V21" i="19"/>
  <c r="AH31" i="19"/>
  <c r="V51" i="19"/>
  <c r="J51" i="19"/>
  <c r="AH51" i="19"/>
  <c r="AH11" i="19"/>
  <c r="J41" i="19"/>
  <c r="P11" i="19"/>
  <c r="AC3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38" i="1"/>
  <c r="AA45"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46" i="1"/>
  <c r="AB47" i="1"/>
  <c r="AB16" i="1"/>
  <c r="AA15" i="1"/>
  <c r="AA21" i="1"/>
  <c r="AB22" i="1"/>
  <c r="AA22" i="1" s="1"/>
  <c r="AB23" i="1"/>
  <c r="V32" i="19"/>
  <c r="P42" i="19"/>
  <c r="J12" i="19"/>
  <c r="J32" i="19"/>
  <c r="AB52" i="19"/>
  <c r="AC26" i="1"/>
  <c r="J22" i="19"/>
  <c r="V22" i="19"/>
  <c r="J52" i="19"/>
  <c r="AH12" i="19"/>
  <c r="J42" i="19"/>
  <c r="AH42" i="19"/>
  <c r="P32" i="19"/>
  <c r="AB12" i="19"/>
  <c r="AH32" i="19"/>
  <c r="AB32" i="19"/>
  <c r="AB42" i="19"/>
  <c r="V42" i="19"/>
  <c r="V12" i="19"/>
  <c r="V52" i="19"/>
  <c r="AB22" i="19"/>
  <c r="AH52" i="19"/>
  <c r="AH22" i="19"/>
  <c r="P22" i="19"/>
  <c r="P12" i="19"/>
  <c r="P52" i="19"/>
  <c r="AB28" i="1"/>
  <c r="AA28" i="1" s="1"/>
  <c r="AB29" i="1"/>
  <c r="AA29" i="1" s="1"/>
  <c r="AA27" i="1"/>
  <c r="AA33" i="1"/>
  <c r="AB34" i="1"/>
  <c r="AA39" i="1"/>
  <c r="AB4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47" i="1"/>
  <c r="AB48" i="1"/>
  <c r="K35" i="19"/>
  <c r="AC25" i="19"/>
  <c r="K45" i="19"/>
  <c r="AI45" i="19"/>
  <c r="W45" i="19"/>
  <c r="Q35" i="19"/>
  <c r="K55" i="19"/>
  <c r="AC15" i="19"/>
  <c r="Q15" i="19"/>
  <c r="AC35" i="19"/>
  <c r="AI35" i="19"/>
  <c r="Q55" i="19"/>
  <c r="AI25" i="19"/>
  <c r="AC4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3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21" i="1"/>
  <c r="AD55" i="19"/>
  <c r="R15" i="19"/>
  <c r="AJ35" i="19"/>
  <c r="AC4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3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28" i="1"/>
  <c r="AD12" i="19"/>
  <c r="AD32" i="19"/>
  <c r="AD22" i="19"/>
  <c r="X52" i="19"/>
  <c r="AD52" i="19"/>
  <c r="L42" i="19"/>
  <c r="R42" i="19"/>
  <c r="AJ21" i="19"/>
  <c r="AD31" i="19"/>
  <c r="R21" i="19"/>
  <c r="AD41" i="19"/>
  <c r="AJ11" i="19"/>
  <c r="AJ51" i="19"/>
  <c r="AC22" i="1"/>
  <c r="L41" i="19"/>
  <c r="AD11" i="19"/>
  <c r="L21" i="19"/>
  <c r="L11" i="19"/>
  <c r="X51" i="19"/>
  <c r="X21" i="19"/>
  <c r="R11" i="19"/>
  <c r="R31" i="19"/>
  <c r="AJ41" i="19"/>
  <c r="L31" i="19"/>
  <c r="R51" i="19"/>
  <c r="X31" i="19"/>
  <c r="X11" i="19"/>
  <c r="X41" i="19"/>
  <c r="AJ31" i="19"/>
  <c r="AD51" i="19"/>
  <c r="R41" i="19"/>
  <c r="AD21" i="19"/>
  <c r="L51" i="19"/>
  <c r="AA34" i="1"/>
  <c r="AB35" i="1"/>
  <c r="K42" i="19"/>
  <c r="AC32" i="19"/>
  <c r="W42" i="19"/>
  <c r="AI52" i="19"/>
  <c r="K22" i="19"/>
  <c r="Q32" i="19"/>
  <c r="AI12" i="19"/>
  <c r="AC52" i="19"/>
  <c r="Q42" i="19"/>
  <c r="AC42" i="19"/>
  <c r="K12" i="19"/>
  <c r="Q22" i="19"/>
  <c r="W52" i="19"/>
  <c r="AI42" i="19"/>
  <c r="W32" i="19"/>
  <c r="AI22" i="19"/>
  <c r="W12" i="19"/>
  <c r="AI32" i="19"/>
  <c r="AC12" i="19"/>
  <c r="Q12" i="19"/>
  <c r="Q52" i="19"/>
  <c r="AC27" i="1"/>
  <c r="K32" i="19"/>
  <c r="W22" i="19"/>
  <c r="K52" i="19"/>
  <c r="AC22" i="19"/>
  <c r="AC40" i="19"/>
  <c r="W10" i="19"/>
  <c r="AC50" i="19"/>
  <c r="Q10" i="19"/>
  <c r="Q30" i="19"/>
  <c r="W50" i="19"/>
  <c r="K40" i="19"/>
  <c r="Q50" i="19"/>
  <c r="W20" i="19"/>
  <c r="AC15"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0" i="1"/>
  <c r="AB4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33" i="1"/>
  <c r="Q33" i="19"/>
  <c r="AI23" i="19"/>
  <c r="K53" i="19"/>
  <c r="AC23" i="19"/>
  <c r="AC13" i="19"/>
  <c r="W23" i="19"/>
  <c r="W33" i="19"/>
  <c r="Q13" i="19"/>
  <c r="W13" i="19"/>
  <c r="AI13" i="19"/>
  <c r="Q43" i="19"/>
  <c r="Q23" i="19"/>
  <c r="W53" i="19"/>
  <c r="M12" i="19"/>
  <c r="AK42" i="19"/>
  <c r="AE32" i="19"/>
  <c r="AC29" i="1"/>
  <c r="M52" i="19"/>
  <c r="S12" i="19"/>
  <c r="M32" i="19"/>
  <c r="S52" i="19"/>
  <c r="Y52" i="19"/>
  <c r="Y42" i="19"/>
  <c r="AK12" i="19"/>
  <c r="S22" i="19"/>
  <c r="AE12" i="19"/>
  <c r="Y22" i="19"/>
  <c r="S32" i="19"/>
  <c r="AK52" i="19"/>
  <c r="M22" i="19"/>
  <c r="AK32" i="19"/>
  <c r="AE22" i="19"/>
  <c r="AE42" i="19"/>
  <c r="Y32" i="19"/>
  <c r="M42" i="19"/>
  <c r="Y12" i="19"/>
  <c r="AE52" i="19"/>
  <c r="AK22" i="19"/>
  <c r="S42" i="19"/>
  <c r="AA23" i="1"/>
  <c r="AB25" i="1"/>
  <c r="AA25" i="1" s="1"/>
  <c r="AB24" i="1"/>
  <c r="AA24" i="1" s="1"/>
  <c r="AA16" i="1"/>
  <c r="AB17"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AC16" i="1"/>
  <c r="L10" i="19"/>
  <c r="L50" i="19"/>
  <c r="AJ20" i="19"/>
  <c r="AJ40" i="19"/>
  <c r="AD30" i="19"/>
  <c r="R20" i="19"/>
  <c r="AD50" i="19"/>
  <c r="AJ30" i="19"/>
  <c r="AJ50" i="19"/>
  <c r="X30" i="19"/>
  <c r="AD20" i="19"/>
  <c r="L40" i="19"/>
  <c r="X50" i="19"/>
  <c r="X20" i="19"/>
  <c r="AD40" i="19"/>
  <c r="R10" i="19"/>
  <c r="L30" i="19"/>
  <c r="L20" i="19"/>
  <c r="AA35" i="1"/>
  <c r="AB36" i="1"/>
  <c r="AA48" i="1"/>
  <c r="AB49" i="1"/>
  <c r="AA49"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34" i="1"/>
  <c r="X23" i="19"/>
  <c r="R33" i="19"/>
  <c r="R43" i="19"/>
  <c r="AD53" i="19"/>
  <c r="AJ13" i="19"/>
  <c r="R23" i="19"/>
  <c r="R13" i="19"/>
  <c r="AJ53" i="19"/>
  <c r="L33" i="19"/>
  <c r="L23" i="19"/>
  <c r="X43" i="19"/>
  <c r="X53" i="19"/>
  <c r="AD13" i="19"/>
  <c r="L53" i="19"/>
  <c r="L13" i="19"/>
  <c r="AD23" i="19"/>
  <c r="AJ33" i="19"/>
  <c r="AJ23" i="19"/>
  <c r="R53" i="19"/>
  <c r="M55" i="19"/>
  <c r="AK15" i="19"/>
  <c r="AE25" i="19"/>
  <c r="AC4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2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25" i="1"/>
  <c r="AG11" i="19"/>
  <c r="AM41" i="19"/>
  <c r="AA21" i="19"/>
  <c r="AA51" i="19"/>
  <c r="U51" i="19"/>
  <c r="U31" i="19"/>
  <c r="AA11" i="19"/>
  <c r="AG21" i="19"/>
  <c r="O31" i="19"/>
  <c r="AA41" i="1"/>
  <c r="AB42"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17" i="1"/>
  <c r="AB18" i="1"/>
  <c r="AE11" i="19"/>
  <c r="Y41" i="19"/>
  <c r="M41" i="19"/>
  <c r="Y21" i="19"/>
  <c r="AK41" i="19"/>
  <c r="S31" i="19"/>
  <c r="M31" i="19"/>
  <c r="M51" i="19"/>
  <c r="Y51" i="19"/>
  <c r="AK21" i="19"/>
  <c r="AK31" i="19"/>
  <c r="Y11" i="19"/>
  <c r="AE41" i="19"/>
  <c r="AE21" i="19"/>
  <c r="S51" i="19"/>
  <c r="AE51" i="19"/>
  <c r="AK51" i="19"/>
  <c r="M21" i="19"/>
  <c r="AE31" i="19"/>
  <c r="AC23" i="1"/>
  <c r="S41" i="19"/>
  <c r="AK11" i="19"/>
  <c r="S11" i="19"/>
  <c r="Y31" i="19"/>
  <c r="S21" i="19"/>
  <c r="M11" i="19"/>
  <c r="L54" i="19"/>
  <c r="AJ14" i="19"/>
  <c r="AD44" i="19"/>
  <c r="X54" i="19"/>
  <c r="R14" i="19"/>
  <c r="AD24" i="19"/>
  <c r="AD34" i="19"/>
  <c r="R54" i="19"/>
  <c r="L34" i="19"/>
  <c r="AJ34" i="19"/>
  <c r="X24" i="19"/>
  <c r="AJ24" i="19"/>
  <c r="X44" i="19"/>
  <c r="R24" i="19"/>
  <c r="AC4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18" i="1" l="1"/>
  <c r="AB19" i="1"/>
  <c r="AA19"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1"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49" i="1"/>
  <c r="AG15" i="19"/>
  <c r="U15" i="19"/>
  <c r="AG55" i="19"/>
  <c r="U55" i="19"/>
  <c r="AE40" i="19"/>
  <c r="Y30" i="19"/>
  <c r="M20" i="19"/>
  <c r="AC1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4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36" i="1"/>
  <c r="AB37" i="1"/>
  <c r="AA3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42" i="1"/>
  <c r="AB43" i="1"/>
  <c r="AA4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3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43" i="1"/>
  <c r="AA14" i="19"/>
  <c r="O54" i="19"/>
  <c r="U44" i="19"/>
  <c r="U43" i="19"/>
  <c r="U13" i="19"/>
  <c r="AM53" i="19"/>
  <c r="AA53" i="19"/>
  <c r="AA43" i="19"/>
  <c r="O53" i="19"/>
  <c r="O23" i="19"/>
  <c r="O13" i="19"/>
  <c r="AG43" i="19"/>
  <c r="U33" i="19"/>
  <c r="U23" i="19"/>
  <c r="AM13" i="19"/>
  <c r="AM23" i="19"/>
  <c r="AG13" i="19"/>
  <c r="AA23" i="19"/>
  <c r="AG33" i="19"/>
  <c r="AA33" i="19"/>
  <c r="AM33" i="19"/>
  <c r="AA13" i="19"/>
  <c r="AC3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42" i="1"/>
  <c r="AF53" i="19"/>
  <c r="T43" i="19"/>
  <c r="Z53" i="19"/>
  <c r="N43" i="19"/>
  <c r="T23" i="19"/>
  <c r="AF43" i="19"/>
  <c r="Z13" i="19"/>
  <c r="Z43" i="19"/>
  <c r="AF23" i="19"/>
  <c r="AL13" i="19"/>
  <c r="Z23" i="19"/>
  <c r="AL43" i="19"/>
  <c r="AF13" i="19"/>
  <c r="AL23" i="19"/>
  <c r="N13" i="19"/>
  <c r="T33" i="19"/>
  <c r="AL53" i="19"/>
  <c r="N23" i="19"/>
  <c r="N53" i="19"/>
  <c r="AF33" i="19"/>
  <c r="N33" i="19"/>
  <c r="AC3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1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1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M13" i="1"/>
  <c r="AB13" i="1" s="1"/>
  <c r="AA13" i="1" s="1"/>
  <c r="J16" i="18"/>
  <c r="P32" i="18"/>
  <c r="V24" i="18"/>
  <c r="P24" i="18"/>
  <c r="V40" i="18"/>
  <c r="P16" i="18"/>
  <c r="P40" i="18"/>
  <c r="V32" i="18"/>
  <c r="AH16" i="18"/>
  <c r="AB16" i="18"/>
  <c r="V8" i="18"/>
  <c r="AH24" i="18"/>
  <c r="AH8" i="18"/>
  <c r="AH40" i="18"/>
  <c r="J8" i="18"/>
  <c r="AB32" i="18"/>
  <c r="AB8" i="18"/>
  <c r="J24" i="18"/>
  <c r="J32" i="18"/>
  <c r="P8" i="18"/>
  <c r="N13"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AC13" i="1" l="1"/>
  <c r="P39" i="19"/>
  <c r="V9" i="19"/>
  <c r="V29" i="19"/>
  <c r="P49" i="19"/>
  <c r="AH39" i="19"/>
  <c r="AB19" i="19"/>
  <c r="V39" i="19"/>
  <c r="AB29" i="19"/>
  <c r="J39" i="19"/>
  <c r="P9" i="19"/>
  <c r="AH9" i="19"/>
  <c r="P29" i="19"/>
  <c r="J49" i="19"/>
  <c r="V19" i="19"/>
  <c r="J9" i="19"/>
  <c r="AH49" i="19"/>
  <c r="V49" i="19"/>
  <c r="AB39" i="19"/>
  <c r="AB9" i="19"/>
  <c r="J29" i="19"/>
  <c r="AB49" i="19"/>
  <c r="P19" i="19"/>
  <c r="AH19" i="19"/>
  <c r="J19" i="19"/>
  <c r="AH29" i="19"/>
  <c r="V27" i="19"/>
  <c r="P47" i="19"/>
  <c r="J17" i="19"/>
  <c r="J37" i="19"/>
  <c r="AB37" i="19"/>
  <c r="V7" i="19"/>
  <c r="P27" i="19"/>
  <c r="P17" i="19"/>
  <c r="AH47" i="19"/>
  <c r="AB17" i="19"/>
  <c r="V37" i="19"/>
  <c r="P7" i="19"/>
  <c r="AB47" i="19"/>
  <c r="J47" i="19"/>
  <c r="AH7" i="19"/>
  <c r="AB27" i="19"/>
  <c r="V47" i="19"/>
  <c r="AC11" i="1"/>
  <c r="J27" i="19"/>
  <c r="AH37" i="19"/>
  <c r="AB7" i="19"/>
  <c r="V17" i="19"/>
  <c r="P37" i="19"/>
  <c r="J7" i="19"/>
  <c r="AH17" i="19"/>
  <c r="AH2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B223" i="13"/>
  <c r="B222" i="13"/>
  <c r="K20" i="1" l="1"/>
  <c r="L20" i="1" s="1"/>
  <c r="K26" i="1"/>
  <c r="L26" i="1" s="1"/>
  <c r="K38" i="1"/>
  <c r="L38" i="1" s="1"/>
  <c r="K10" i="1"/>
  <c r="K14" i="1"/>
  <c r="L14" i="1" s="1"/>
  <c r="K13" i="1"/>
  <c r="K11" i="1"/>
  <c r="K44" i="1"/>
  <c r="L44" i="1" s="1"/>
  <c r="K32" i="1"/>
  <c r="L32" i="1" s="1"/>
  <c r="AB28" i="18" l="1"/>
  <c r="AH20" i="18"/>
  <c r="J36" i="18"/>
  <c r="J28" i="18"/>
  <c r="AH12" i="18"/>
  <c r="P28" i="18"/>
  <c r="P44" i="18"/>
  <c r="P36" i="18"/>
  <c r="AH36" i="18"/>
  <c r="AB20" i="18"/>
  <c r="V20" i="18"/>
  <c r="AB44" i="18"/>
  <c r="AB36" i="18"/>
  <c r="V28" i="18"/>
  <c r="J20" i="18"/>
  <c r="N44" i="1"/>
  <c r="AB12" i="18"/>
  <c r="V12" i="18"/>
  <c r="M44" i="1"/>
  <c r="AB44" i="1" s="1"/>
  <c r="AA44" i="1" s="1"/>
  <c r="J44" i="18"/>
  <c r="P20" i="18"/>
  <c r="AH28" i="18"/>
  <c r="V36" i="18"/>
  <c r="P12" i="18"/>
  <c r="V44" i="18"/>
  <c r="J12" i="18"/>
  <c r="AH44" i="18"/>
  <c r="Z42" i="18"/>
  <c r="N42" i="18"/>
  <c r="AF26" i="18"/>
  <c r="AF10" i="18"/>
  <c r="N10" i="18"/>
  <c r="M38" i="1"/>
  <c r="AL42" i="18"/>
  <c r="T18" i="18"/>
  <c r="Z18" i="18"/>
  <c r="Z10" i="18"/>
  <c r="T34" i="18"/>
  <c r="AF18" i="18"/>
  <c r="Z34" i="18"/>
  <c r="N34" i="18"/>
  <c r="AF34" i="18"/>
  <c r="AL10" i="18"/>
  <c r="N18" i="18"/>
  <c r="N26" i="18"/>
  <c r="Z26" i="18"/>
  <c r="T10" i="18"/>
  <c r="T42" i="18"/>
  <c r="AF42" i="18"/>
  <c r="AL26" i="18"/>
  <c r="T26" i="18"/>
  <c r="AL18" i="18"/>
  <c r="AL34" i="18"/>
  <c r="N38" i="1"/>
  <c r="AD26" i="18"/>
  <c r="X18" i="18"/>
  <c r="AJ10" i="18"/>
  <c r="M32" i="1"/>
  <c r="R34" i="18"/>
  <c r="R42" i="18"/>
  <c r="X42" i="18"/>
  <c r="L10" i="18"/>
  <c r="X34" i="18"/>
  <c r="AD42" i="18"/>
  <c r="L18" i="18"/>
  <c r="L34" i="18"/>
  <c r="X26" i="18"/>
  <c r="AD34" i="18"/>
  <c r="L42" i="18"/>
  <c r="X10" i="18"/>
  <c r="AJ34" i="18"/>
  <c r="AJ26" i="18"/>
  <c r="AJ42" i="18"/>
  <c r="AJ18" i="18"/>
  <c r="AD10" i="18"/>
  <c r="L26" i="18"/>
  <c r="R18" i="18"/>
  <c r="R26" i="18"/>
  <c r="AD18" i="18"/>
  <c r="R10" i="18"/>
  <c r="N32" i="1"/>
  <c r="P34" i="18"/>
  <c r="P10" i="18"/>
  <c r="AH42" i="18"/>
  <c r="AB34" i="18"/>
  <c r="J10" i="18"/>
  <c r="P26" i="18"/>
  <c r="V18" i="18"/>
  <c r="AB18" i="18"/>
  <c r="V34" i="18"/>
  <c r="AB26" i="18"/>
  <c r="V10" i="18"/>
  <c r="AB10" i="18"/>
  <c r="J26" i="18"/>
  <c r="M26" i="1"/>
  <c r="AB42" i="18"/>
  <c r="P42" i="18"/>
  <c r="AH26" i="18"/>
  <c r="AH18" i="18"/>
  <c r="J18" i="18"/>
  <c r="AH10" i="18"/>
  <c r="J42" i="18"/>
  <c r="AH34" i="18"/>
  <c r="V42" i="18"/>
  <c r="V26" i="18"/>
  <c r="J34" i="18"/>
  <c r="N26" i="1"/>
  <c r="P18" i="18"/>
  <c r="R24" i="18"/>
  <c r="R8" i="18"/>
  <c r="X40" i="18"/>
  <c r="X24" i="18"/>
  <c r="L40" i="18"/>
  <c r="X32" i="18"/>
  <c r="AD32" i="18"/>
  <c r="L8" i="18"/>
  <c r="AD24" i="18"/>
  <c r="N14" i="1"/>
  <c r="AJ8" i="18"/>
  <c r="X16" i="18"/>
  <c r="AJ40" i="18"/>
  <c r="AD16" i="18"/>
  <c r="R32" i="18"/>
  <c r="AJ32" i="18"/>
  <c r="L32" i="18"/>
  <c r="M14" i="1"/>
  <c r="L24" i="18"/>
  <c r="R16" i="18"/>
  <c r="L16" i="18"/>
  <c r="AJ16" i="18"/>
  <c r="AD8" i="18"/>
  <c r="X8" i="18"/>
  <c r="R40" i="18"/>
  <c r="AJ24" i="18"/>
  <c r="AD40" i="18"/>
  <c r="AF24" i="18"/>
  <c r="N8" i="18"/>
  <c r="AF32" i="18"/>
  <c r="AL8" i="18"/>
  <c r="T24" i="18"/>
  <c r="N16" i="18"/>
  <c r="N24" i="18"/>
  <c r="AF16" i="18"/>
  <c r="AL16" i="18"/>
  <c r="T40" i="18"/>
  <c r="AF8" i="18"/>
  <c r="Z8" i="18"/>
  <c r="T32" i="18"/>
  <c r="N20" i="1"/>
  <c r="T8" i="18"/>
  <c r="T16" i="18"/>
  <c r="Z40" i="18"/>
  <c r="AF40" i="18"/>
  <c r="AL24" i="18"/>
  <c r="AL32" i="18"/>
  <c r="M20" i="1"/>
  <c r="AL40" i="18"/>
  <c r="N32" i="18"/>
  <c r="Z32" i="18"/>
  <c r="N40" i="18"/>
  <c r="Z16" i="18"/>
  <c r="Z24" i="18"/>
  <c r="AB45" i="19" l="1"/>
  <c r="P15" i="19"/>
  <c r="AH45" i="19"/>
  <c r="V35" i="19"/>
  <c r="AB25" i="19"/>
  <c r="P25" i="19"/>
  <c r="J15" i="19"/>
  <c r="J35" i="19"/>
  <c r="AC44" i="1"/>
  <c r="V25" i="19"/>
  <c r="AH25" i="19"/>
  <c r="P45" i="19"/>
  <c r="J25" i="19"/>
  <c r="J55" i="19"/>
  <c r="AH35" i="19"/>
  <c r="P35" i="19"/>
  <c r="V45" i="19"/>
  <c r="AH55" i="19"/>
  <c r="V15" i="19"/>
  <c r="AB55" i="19"/>
  <c r="P55" i="19"/>
  <c r="V55" i="19"/>
  <c r="J45" i="19"/>
  <c r="AB35" i="19"/>
  <c r="AB15" i="19"/>
  <c r="AH1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<sst xmlns="http://schemas.openxmlformats.org/spreadsheetml/2006/main" count="392" uniqueCount="249">
  <si>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</si>
  <si>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</si>
  <si>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</si>
  <si>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</si>
  <si>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</si>
  <si>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</si>
  <si>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</si>
  <si>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</si>
  <si>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</si>
  <si>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</si>
  <si>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</si>
  <si>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</si>
  <si>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</si>
  <si>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</si>
  <si>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</si>
  <si>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</si>
  <si>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</si>
  <si>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</si>
  <si>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</si>
  <si>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</si>
  <si>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</si>
  <si>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</si>
  <si>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</si>
  <si>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</si>
  <si>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</si>
  <si>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</si>
  <si>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</si>
  <si>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</si>
  <si>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</si>
  <si>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</si>
  <si>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</si>
  <si>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</si>
  <si>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</si>
  <si>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</si>
  <si>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</si>
  <si>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</si>
  <si>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</si>
  <si>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</si>
  <si>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</si>
  <si>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</si>
  <si>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</si>
  <si>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</si>
  <si>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</si>
  <si>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</si>
  <si>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</si>
  <si>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</si>
  <si>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</si>
  <si>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</si>
  <si>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</si>
  <si>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</si>
  <si>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</si>
  <si>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</si>
  <si>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</si>
  <si>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</si>
  <si>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</si>
  <si>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</si>
  <si>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</si>
  <si>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</si>
  <si>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</si>
  <si>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</si>
  <si>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</si>
  <si>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</si>
  <si>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</si>
  <si>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</si>
  <si>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</si>
  <si>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</si>
  <si>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</si>
  <si>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</si>
  <si>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</si>
  <si>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</si>
  <si>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</si>
  <si>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</si>
  <si>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</si>
  <si>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</si>
  <si>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</si>
  <si>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</si>
  <si>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</si>
  <si>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</si>
  <si>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</si>
  <si>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</si>
  <si>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</si>
  <si>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</si>
  <si>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</si>
  <si>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</si>
  <si>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</si>
  <si>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</si>
  <si>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</si>
  <si>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</si>
  <si>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</si>
  <si>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</si>
  <si>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</si>
  <si>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</si>
  <si>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</si>
  <si>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</si>
  <si>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</si>
  <si>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</si>
  <si>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</si>
  <si>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</si>
  <si>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</si>
  <si>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</si>
  <si>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</si>
  <si>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</si>
  <si>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</si>
  <si>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</si>
  <si>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</si>
  <si>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</si>
  <si>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</si>
  <si>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</si>
  <si>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</si>
  <si>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</si>
  <si>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</si>
  <si>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</si>
  <si>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</si>
  <si>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</si>
  <si>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</si>
  <si>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</si>
  <si>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</si>
  <si>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</si>
  <si>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</si>
  <si>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</si>
  <si>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</si>
  <si>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</si>
  <si>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</si>
  <si>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</si>
  <si>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</si>
  <si>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</si>
  <si>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</si>
  <si>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</si>
  <si>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</si>
  <si>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</si>
  <si>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</si>
  <si>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</si>
  <si>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</si>
  <si>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</si>
  <si>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</si>
  <si>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</si>
  <si>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</si>
  <si>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</si>
  <si>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</si>
  <si>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</si>
  <si>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</si>
  <si>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</si>
  <si>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</si>
  <si>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</si>
  <si>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</si>
  <si>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</si>
  <si>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</si>
  <si>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</si>
  <si>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</si>
  <si>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</si>
  <si>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</si>
  <si>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</si>
  <si>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</si>
  <si>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</si>
  <si>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</si>
  <si>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</si>
  <si>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</si>
  <si>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</si>
  <si>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</si>
  <si>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</si>
  <si>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</si>
  <si>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</si>
  <si>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</si>
  <si>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</si>
  <si>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</si>
  <si>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</si>
  <si>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</si>
  <si>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</si>
  <si>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</si>
  <si>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</si>
  <si>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</si>
  <si>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</si>
  <si>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</si>
  <si>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</si>
  <si>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</si>
  <si>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</si>
  <si>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</si>
  <si>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</si>
  <si>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</si>
  <si>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</si>
  <si>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</si>
  <si>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</si>
  <si>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</si>
  <si>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</si>
  <si>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</si>
  <si>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</si>
  <si>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</si>
  <si>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</si>
  <si>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</si>
  <si>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</si>
  <si>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</si>
  <si>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</si>
  <si>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</si>
  <si>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</si>
  <si>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</si>
  <si>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</si>
  <si>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</si>
  <si>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</si>
  <si>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</si>
  <si>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</si>
  <si>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</si>
  <si>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</si>
  <si>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</si>
  <si>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</si>
  <si>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</si>
  <si>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</si>
  <si>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</si>
  <si>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</si>
  <si>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</si>
  <si>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</si>
  <si>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</si>
  <si>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</si>
  <si>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</si>
  <si>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</si>
  <si>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Planear, dirigir y controlar las actividades  necesarias para la gestión financiera de la EDAT S.A. E.S.P. OFICIAL, referente a los procesos de consolidación y administración de recursos, así como a la gestión presupuestal, la gestión contable y las Operaciones de Tesorería, de conformidad con el marco normativo vigente.</t>
  </si>
  <si>
    <t>Debilidades en la programación de pagos                                  DESCRIPCION                                               'En ocasiones no se cumplen las fechas previstas o los plazos para la presentación de cuentas y/o facturas, ajustes o actualización de las mismas, lo que genera demoras en el proceso.</t>
  </si>
  <si>
    <t>Se presentan casos especiales fuera de los plazos previstos, que se autorizan directamente por parte de la alta dirección.
Desplazamientos de los funcionarios que tienen a cargo las aprobaciones de los pagos, que pueden retrasar el desarrollo de los mismos.
Más del 80% del personal de la entidad, cuenta con vinculación por contrato de prestación de servicios y/o apoyo a la gestión.</t>
  </si>
  <si>
    <t>MENSUAL</t>
  </si>
  <si>
    <t>MODERADO</t>
  </si>
  <si>
    <t>MEDIA</t>
  </si>
  <si>
    <t>Adopción de circular de Gerencia, en donde se establecen los plazos para la entrega de cuentas y/o facturas, así como el tiempo para su revisión y solicitudes de ajustes o mejoras.</t>
  </si>
  <si>
    <t>Socialización con todo el equipo de contratistas y/o proveedores de las fechas de corte para pagos, los formatos a utilizar, los requisitos para el pago, de tal manera que se reduzcan las devoluciones y se optimicen los tiempos</t>
  </si>
  <si>
    <t>Dirección Financiera y de Tesorería</t>
  </si>
  <si>
    <t>Enero a Diciembre 2022</t>
  </si>
  <si>
    <t>Deficiencias en hardware, software y comunicaciones requeridos para la operación del proceso   DESCRIPCION                                               'Proveedor de internet, que presenta caidas constantes o fallas en la señal.
Obsolescencia de los equipos que genera inconvenientes en la operación del software y en su conectividad con la red.  Caidas de los portales bancarios
Virus informáticos</t>
  </si>
  <si>
    <t>Proveedor de internet (Movistar), presenta fallas en la señal y reiterativas caidas de la misma, porque ingresa al edificio a través de cable.
La administración del edificio no ha permitido el ingreso de fibra óptica.
Obsolescencia de los equipos (computadores, impresoras, routers, etc.)</t>
  </si>
  <si>
    <t>VIGENCIA</t>
  </si>
  <si>
    <t>ALTA</t>
  </si>
  <si>
    <t>Contratación de un profesional en Ing. De Sistemas que apoya la solución de novedades tecnológicas que afecten el proceso.
Lineas de atención o soprte proveedores de internet, software contable o de las entidades bancarias</t>
  </si>
  <si>
    <t xml:space="preserve">1.  Realizar comunicación a la administraciónn del edificio reafirmando la necesidad de mejorar los accesos de los proveedores de internet al edificio (Fibra optica)  '2.  Renovación de los equipos tecnológicos y redes al servicio del proceso </t>
  </si>
  <si>
    <t>Dirección Financiera y de Tesorería - Secretaría General y Jurídica - Gerencia</t>
  </si>
  <si>
    <t>Constante actualización normativa para el desarrollo del proceso                       DESCRIPCION                                        'Las entidades a cargo de las operaciones financieras y de registro contable en Colombia, realizan permanentemente actualizaciones de la normatividad o guías para el cumplimiento de las obligaciones (DIAN, CGN, Contaduría, etc.)</t>
  </si>
  <si>
    <t>Constante actualizacion de normas, circulares, resoluciones, leyes de las entidades reguladoras de la Contabilidad Colombiana de entidades del sector publico (entes de control)</t>
  </si>
  <si>
    <t>BAJA</t>
  </si>
  <si>
    <t xml:space="preserve">Consulta de las diferentes formas de presentacion de los informes financieros (presupuestales y contables), con sus plazos de publicación´  entes de control.  </t>
  </si>
  <si>
    <t>MODERDO</t>
  </si>
  <si>
    <t xml:space="preserve">1. Actualizar el normograma de la entidad, con las actualizaciones pertinentes para la rpesentacion de la informacion financiera de la entidad.    </t>
  </si>
  <si>
    <t>Falta de custodia de los titulos valores (chequeras, Peajes), Tokens criptográficos o de autenticacion de las entidades bancarias                                DESCRIPCION                                         'La direccion financiera no tiene establecido el espacio con seguridad para la respectiva custodia de los elementos de gran importancia para los procesos financieros como chequeras, peajes, tokens criptográficos de las entidades bancarias.</t>
  </si>
  <si>
    <t>Falta de definicion de un espacio seguro para la custodia de titulos valores y tokens criptográficos de las entidades bancarias.</t>
  </si>
  <si>
    <t>MAYOR</t>
  </si>
  <si>
    <t xml:space="preserve">1. Custodia de cheques y tokens criptográficos en un cajon de la oficina del director financiero y de tesoreria sin seguridad.
2. Custodia de peajes en un cajon sin seguridad en el puesto del contratista a cargo. </t>
  </si>
  <si>
    <t xml:space="preserve">1. Estebler un lugar con seguridad para la custodia de los titulos valores (chequeras, peajes) y tokens criptográficos de las entidades bancarias.  </t>
  </si>
  <si>
    <t>GESTION FINANCIERA</t>
  </si>
  <si>
    <t>Inicia con la planeación de las actividades y culmina con el seguimiento y evaluación del proceso</t>
  </si>
  <si>
    <t>Enero 10 de 2023</t>
  </si>
  <si>
    <t>Se realizó socialziación a través de circular y permanentemente en el Whtsapp institucional, disminuyendo las devoluciones de las cuentas</t>
  </si>
  <si>
    <t>Se realizó comunización a la administraciónd el edificio y se evidencia mejoras en temas de pintura, techos, baños, etc.</t>
  </si>
  <si>
    <t xml:space="preserve">Se evidencia la actualización de los documentos del procesos para la vigencia 2022
Evidencia: </t>
  </si>
  <si>
    <t>Se cuenta con un lugar al cual solo tiene acceso el Director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</si>
</sst>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2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0" fontId="48" fillId="3" borderId="34" xfId="0" quotePrefix="1" applyFont="1" applyFill="1" applyBorder="1" applyAlignment="1">
      <alignment horizontal="center" vertical="center" wrapText="1"/>
    </xf>
    <xf numFmtId="0" fontId="48" fillId="3" borderId="34" xfId="0" applyFont="1" applyFill="1" applyBorder="1" applyAlignment="1">
      <alignment horizontal="center" vertical="center" wrapText="1"/>
    </xf>
    <xf numFmtId="0" fontId="48" fillId="3" borderId="78" xfId="0" quotePrefix="1" applyFont="1" applyFill="1" applyBorder="1" applyAlignment="1">
      <alignment horizontal="center" vertical="center" wrapText="1"/>
    </xf>
    <xf numFmtId="0" fontId="48" fillId="3" borderId="78" xfId="0" quotePrefix="1" applyFont="1" applyFill="1" applyBorder="1" applyAlignment="1">
      <alignment horizontal="left" vertical="center" wrapText="1"/>
    </xf>
    <xf numFmtId="0" fontId="48" fillId="3" borderId="78" xfId="0" quotePrefix="1" applyFont="1" applyFill="1" applyBorder="1" applyAlignment="1">
      <alignment horizontal="center" vertical="top" wrapText="1"/>
    </xf>
    <xf numFmtId="0" fontId="48" fillId="3" borderId="34" xfId="0" quotePrefix="1" applyFont="1" applyFill="1" applyBorder="1" applyAlignment="1">
      <alignment horizontal="center" vertical="top" wrapText="1"/>
    </xf>
    <xf numFmtId="0" fontId="1" fillId="0" borderId="7" xfId="0" applyFont="1" applyBorder="1" applyAlignment="1" applyProtection="1">
      <alignment horizontal="center" vertical="top"/>
    </xf>
    <xf numFmtId="0" fontId="1" fillId="0" borderId="9" xfId="0" applyFont="1" applyBorder="1" applyAlignment="1" applyProtection="1">
      <alignment horizontal="center" vertical="top" wrapText="1"/>
      <protection locked="0"/>
    </xf>
    <xf numFmtId="0" fontId="1" fillId="0" borderId="33" xfId="0" applyFont="1" applyBorder="1" applyAlignment="1" applyProtection="1">
      <alignment horizontal="center" vertical="top" wrapText="1"/>
      <protection locked="0"/>
    </xf>
    <xf numFmtId="0" fontId="2" fillId="0" borderId="33" xfId="0" applyFont="1" applyBorder="1" applyAlignment="1" applyProtection="1">
      <alignment horizontal="center" vertical="top" wrapText="1"/>
      <protection locked="0"/>
    </xf>
    <xf numFmtId="0" fontId="1" fillId="0" borderId="33" xfId="0" applyFont="1" applyBorder="1" applyAlignment="1" applyProtection="1">
      <alignment horizontal="center" vertical="top"/>
      <protection locked="0"/>
    </xf>
    <xf numFmtId="0" fontId="4" fillId="5" borderId="33" xfId="0" applyFont="1" applyFill="1" applyBorder="1" applyAlignment="1" applyProtection="1">
      <alignment horizontal="center" vertical="top" wrapText="1"/>
      <protection hidden="1"/>
    </xf>
    <xf numFmtId="9" fontId="1" fillId="0" borderId="33" xfId="0" applyNumberFormat="1" applyFont="1" applyBorder="1" applyAlignment="1" applyProtection="1">
      <alignment horizontal="center" vertical="top" wrapText="1"/>
      <protection hidden="1"/>
    </xf>
    <xf numFmtId="9" fontId="1" fillId="0" borderId="33" xfId="0" applyNumberFormat="1" applyFont="1" applyBorder="1" applyAlignment="1" applyProtection="1">
      <alignment horizontal="center" vertical="top" wrapText="1"/>
      <protection locked="0"/>
    </xf>
    <xf numFmtId="0" fontId="4" fillId="4" borderId="33" xfId="0" applyFont="1" applyFill="1" applyBorder="1" applyAlignment="1" applyProtection="1">
      <alignment horizontal="center" vertical="top" wrapText="1"/>
      <protection hidden="1"/>
    </xf>
    <xf numFmtId="0" fontId="4" fillId="4" borderId="33" xfId="0" applyFont="1" applyFill="1" applyBorder="1" applyAlignment="1" applyProtection="1">
      <alignment horizontal="center" vertical="top"/>
      <protection hidden="1"/>
    </xf>
    <xf numFmtId="0" fontId="48" fillId="3" borderId="33" xfId="0" quotePrefix="1" applyFont="1" applyFill="1" applyBorder="1" applyAlignment="1">
      <alignment horizontal="center" vertical="center" wrapText="1"/>
    </xf>
    <xf numFmtId="0" fontId="4" fillId="13" borderId="2" xfId="0" applyFont="1" applyFill="1" applyBorder="1" applyAlignment="1" applyProtection="1">
      <alignment horizontal="center" vertical="top" textRotation="90" wrapText="1"/>
      <protection hidden="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3" borderId="0" xfId="0" applyFont="1" applyFill="1" applyBorder="1" applyAlignment="1">
      <alignment horizontal="left" vertical="center"/>
    </xf>
    <xf numFmtId="0" fontId="48" fillId="0" borderId="75" xfId="0" applyFont="1" applyBorder="1" applyAlignment="1">
      <alignment horizontal="center" vertical="center" wrapText="1"/>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1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348804</xdr:colOff>
      <xdr:row>3</xdr:row>
      <xdr:rowOff>53660</xdr:rowOff>
    </xdr:from>
    <xdr:to>
      <xdr:col>22</xdr:col>
      <xdr:colOff>107324</xdr:colOff>
      <xdr:row>5</xdr:row>
      <xdr:rowOff>308556</xdr:rowOff>
    </xdr:to>
    <xdr:pic>
      <xdr:nvPicPr>
        <xdr:cNvPr id="7" name="Imagen 6" descr="logo final edat"/>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10917" y="791512"/>
          <a:ext cx="1851337" cy="965917"/>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3828125" defaultRowHeight="14.6" x14ac:dyDescent="0.4"/>
  <cols>
    <col min="1" max="1" width="2.84375" style="84" customWidth="1"/>
    <col min="2" max="3" width="24.69140625" style="84" customWidth="1"/>
    <col min="4" max="4" width="16" style="84" customWidth="1"/>
    <col min="5" max="5" width="24.69140625" style="84" customWidth="1"/>
    <col min="6" max="6" width="27.69140625" style="84" customWidth="1"/>
    <col min="7" max="8" width="24.69140625" style="84" customWidth="1"/>
    <col min="9" max="16384" width="11.3828125" style="84"/>
  </cols>
  <sheetData>
    <row r="1" spans="2:8" ht="15" thickBot="1" x14ac:dyDescent="0.45"/>
    <row r="2" spans="2:8" ht="18" x14ac:dyDescent="0.4">
      <c r="B2" s="192" t="s">
        <v>166</v>
      </c>
      <c r="C2" s="193"/>
      <c r="D2" s="193"/>
      <c r="E2" s="193"/>
      <c r="F2" s="193"/>
      <c r="G2" s="193"/>
      <c r="H2" s="194"/>
    </row>
    <row r="3" spans="2:8" x14ac:dyDescent="0.4">
      <c r="B3" s="85"/>
      <c r="C3" s="86"/>
      <c r="D3" s="86"/>
      <c r="E3" s="86"/>
      <c r="F3" s="86"/>
      <c r="G3" s="86"/>
      <c r="H3" s="87"/>
    </row>
    <row r="4" spans="2:8" ht="63" customHeight="1" x14ac:dyDescent="0.4">
      <c r="B4" s="195" t="s">
        <v>209</v>
      </c>
      <c r="C4" s="196"/>
      <c r="D4" s="196"/>
      <c r="E4" s="196"/>
      <c r="F4" s="196"/>
      <c r="G4" s="196"/>
      <c r="H4" s="197"/>
    </row>
    <row r="5" spans="2:8" ht="63" customHeight="1" x14ac:dyDescent="0.4">
      <c r="B5" s="198"/>
      <c r="C5" s="199"/>
      <c r="D5" s="199"/>
      <c r="E5" s="199"/>
      <c r="F5" s="199"/>
      <c r="G5" s="199"/>
      <c r="H5" s="200"/>
    </row>
    <row r="6" spans="2:8" x14ac:dyDescent="0.4">
      <c r="B6" s="201" t="s">
        <v>164</v>
      </c>
      <c r="C6" s="202"/>
      <c r="D6" s="202"/>
      <c r="E6" s="202"/>
      <c r="F6" s="202"/>
      <c r="G6" s="202"/>
      <c r="H6" s="203"/>
    </row>
    <row r="7" spans="2:8" ht="95.25" customHeight="1" x14ac:dyDescent="0.4">
      <c r="B7" s="211" t="s">
        <v>169</v>
      </c>
      <c r="C7" s="212"/>
      <c r="D7" s="212"/>
      <c r="E7" s="212"/>
      <c r="F7" s="212"/>
      <c r="G7" s="212"/>
      <c r="H7" s="213"/>
    </row>
    <row r="8" spans="2:8" x14ac:dyDescent="0.4">
      <c r="B8" s="122"/>
      <c r="C8" s="123"/>
      <c r="D8" s="123"/>
      <c r="E8" s="123"/>
      <c r="F8" s="123"/>
      <c r="G8" s="123"/>
      <c r="H8" s="124"/>
    </row>
    <row r="9" spans="2:8" ht="16.5" customHeight="1" x14ac:dyDescent="0.4">
      <c r="B9" s="204" t="s">
        <v>202</v>
      </c>
      <c r="C9" s="205"/>
      <c r="D9" s="205"/>
      <c r="E9" s="205"/>
      <c r="F9" s="205"/>
      <c r="G9" s="205"/>
      <c r="H9" s="206"/>
    </row>
    <row r="10" spans="2:8" ht="44.25" customHeight="1" x14ac:dyDescent="0.4">
      <c r="B10" s="204"/>
      <c r="C10" s="205"/>
      <c r="D10" s="205"/>
      <c r="E10" s="205"/>
      <c r="F10" s="205"/>
      <c r="G10" s="205"/>
      <c r="H10" s="206"/>
    </row>
    <row r="11" spans="2:8" ht="15" thickBot="1" x14ac:dyDescent="0.45">
      <c r="B11" s="110"/>
      <c r="C11" s="113"/>
      <c r="D11" s="118"/>
      <c r="E11" s="119"/>
      <c r="F11" s="119"/>
      <c r="G11" s="120"/>
      <c r="H11" s="121"/>
    </row>
    <row r="12" spans="2:8" ht="15" thickTop="1" x14ac:dyDescent="0.4">
      <c r="B12" s="110"/>
      <c r="C12" s="207" t="s">
        <v>165</v>
      </c>
      <c r="D12" s="208"/>
      <c r="E12" s="209" t="s">
        <v>203</v>
      </c>
      <c r="F12" s="210"/>
      <c r="G12" s="113"/>
      <c r="H12" s="114"/>
    </row>
    <row r="13" spans="2:8" ht="35.25" customHeight="1" x14ac:dyDescent="0.4">
      <c r="B13" s="110"/>
      <c r="C13" s="179" t="s">
        <v>196</v>
      </c>
      <c r="D13" s="180"/>
      <c r="E13" s="181" t="s">
        <v>201</v>
      </c>
      <c r="F13" s="182"/>
      <c r="G13" s="113"/>
      <c r="H13" s="114"/>
    </row>
    <row r="14" spans="2:8" ht="17.25" customHeight="1" x14ac:dyDescent="0.4">
      <c r="B14" s="110"/>
      <c r="C14" s="179" t="s">
        <v>197</v>
      </c>
      <c r="D14" s="180"/>
      <c r="E14" s="181" t="s">
        <v>199</v>
      </c>
      <c r="F14" s="182"/>
      <c r="G14" s="113"/>
      <c r="H14" s="114"/>
    </row>
    <row r="15" spans="2:8" ht="19.5" customHeight="1" x14ac:dyDescent="0.4">
      <c r="B15" s="110"/>
      <c r="C15" s="179" t="s">
        <v>198</v>
      </c>
      <c r="D15" s="180"/>
      <c r="E15" s="181" t="s">
        <v>200</v>
      </c>
      <c r="F15" s="182"/>
      <c r="G15" s="113"/>
      <c r="H15" s="114"/>
    </row>
    <row r="16" spans="2:8" ht="69.75" customHeight="1" x14ac:dyDescent="0.4">
      <c r="B16" s="110"/>
      <c r="C16" s="179" t="s">
        <v>167</v>
      </c>
      <c r="D16" s="180"/>
      <c r="E16" s="181" t="s">
        <v>168</v>
      </c>
      <c r="F16" s="182"/>
      <c r="G16" s="113"/>
      <c r="H16" s="114"/>
    </row>
    <row r="17" spans="2:8" ht="34.5" customHeight="1" x14ac:dyDescent="0.4">
      <c r="B17" s="110"/>
      <c r="C17" s="183" t="s">
        <v>2</v>
      </c>
      <c r="D17" s="184"/>
      <c r="E17" s="175" t="s">
        <v>210</v>
      </c>
      <c r="F17" s="176"/>
      <c r="G17" s="113"/>
      <c r="H17" s="114"/>
    </row>
    <row r="18" spans="2:8" ht="27.75" customHeight="1" x14ac:dyDescent="0.4">
      <c r="B18" s="110"/>
      <c r="C18" s="183" t="s">
        <v>3</v>
      </c>
      <c r="D18" s="184"/>
      <c r="E18" s="175" t="s">
        <v>211</v>
      </c>
      <c r="F18" s="176"/>
      <c r="G18" s="113"/>
      <c r="H18" s="114"/>
    </row>
    <row r="19" spans="2:8" ht="28.5" customHeight="1" x14ac:dyDescent="0.4">
      <c r="B19" s="110"/>
      <c r="C19" s="183" t="s">
        <v>42</v>
      </c>
      <c r="D19" s="184"/>
      <c r="E19" s="175" t="s">
        <v>212</v>
      </c>
      <c r="F19" s="176"/>
      <c r="G19" s="113"/>
      <c r="H19" s="114"/>
    </row>
    <row r="20" spans="2:8" ht="72.75" customHeight="1" x14ac:dyDescent="0.4">
      <c r="B20" s="110"/>
      <c r="C20" s="183" t="s">
        <v>1</v>
      </c>
      <c r="D20" s="184"/>
      <c r="E20" s="175" t="s">
        <v>213</v>
      </c>
      <c r="F20" s="176"/>
      <c r="G20" s="113"/>
      <c r="H20" s="114"/>
    </row>
    <row r="21" spans="2:8" ht="64.5" customHeight="1" x14ac:dyDescent="0.4">
      <c r="B21" s="110"/>
      <c r="C21" s="183" t="s">
        <v>50</v>
      </c>
      <c r="D21" s="184"/>
      <c r="E21" s="175" t="s">
        <v>171</v>
      </c>
      <c r="F21" s="176"/>
      <c r="G21" s="113"/>
      <c r="H21" s="114"/>
    </row>
    <row r="22" spans="2:8" ht="71.25" customHeight="1" x14ac:dyDescent="0.4">
      <c r="B22" s="110"/>
      <c r="C22" s="183" t="s">
        <v>170</v>
      </c>
      <c r="D22" s="184"/>
      <c r="E22" s="175" t="s">
        <v>172</v>
      </c>
      <c r="F22" s="176"/>
      <c r="G22" s="113"/>
      <c r="H22" s="114"/>
    </row>
    <row r="23" spans="2:8" ht="55.5" customHeight="1" x14ac:dyDescent="0.4">
      <c r="B23" s="110"/>
      <c r="C23" s="177" t="s">
        <v>173</v>
      </c>
      <c r="D23" s="178"/>
      <c r="E23" s="175" t="s">
        <v>174</v>
      </c>
      <c r="F23" s="176"/>
      <c r="G23" s="113"/>
      <c r="H23" s="114"/>
    </row>
    <row r="24" spans="2:8" ht="42" customHeight="1" x14ac:dyDescent="0.4">
      <c r="B24" s="110"/>
      <c r="C24" s="177" t="s">
        <v>48</v>
      </c>
      <c r="D24" s="178"/>
      <c r="E24" s="175" t="s">
        <v>175</v>
      </c>
      <c r="F24" s="176"/>
      <c r="G24" s="113"/>
      <c r="H24" s="114"/>
    </row>
    <row r="25" spans="2:8" ht="59.25" customHeight="1" x14ac:dyDescent="0.4">
      <c r="B25" s="110"/>
      <c r="C25" s="177" t="s">
        <v>163</v>
      </c>
      <c r="D25" s="178"/>
      <c r="E25" s="175" t="s">
        <v>176</v>
      </c>
      <c r="F25" s="176"/>
      <c r="G25" s="113"/>
      <c r="H25" s="114"/>
    </row>
    <row r="26" spans="2:8" ht="23.25" customHeight="1" x14ac:dyDescent="0.4">
      <c r="B26" s="110"/>
      <c r="C26" s="177" t="s">
        <v>12</v>
      </c>
      <c r="D26" s="178"/>
      <c r="E26" s="175" t="s">
        <v>177</v>
      </c>
      <c r="F26" s="176"/>
      <c r="G26" s="113"/>
      <c r="H26" s="114"/>
    </row>
    <row r="27" spans="2:8" ht="30.75" customHeight="1" x14ac:dyDescent="0.4">
      <c r="B27" s="110"/>
      <c r="C27" s="177" t="s">
        <v>181</v>
      </c>
      <c r="D27" s="178"/>
      <c r="E27" s="175" t="s">
        <v>178</v>
      </c>
      <c r="F27" s="176"/>
      <c r="G27" s="113"/>
      <c r="H27" s="114"/>
    </row>
    <row r="28" spans="2:8" ht="35.25" customHeight="1" x14ac:dyDescent="0.4">
      <c r="B28" s="110"/>
      <c r="C28" s="177" t="s">
        <v>182</v>
      </c>
      <c r="D28" s="178"/>
      <c r="E28" s="175" t="s">
        <v>179</v>
      </c>
      <c r="F28" s="176"/>
      <c r="G28" s="113"/>
      <c r="H28" s="114"/>
    </row>
    <row r="29" spans="2:8" ht="33" customHeight="1" x14ac:dyDescent="0.4">
      <c r="B29" s="110"/>
      <c r="C29" s="177" t="s">
        <v>182</v>
      </c>
      <c r="D29" s="178"/>
      <c r="E29" s="175" t="s">
        <v>179</v>
      </c>
      <c r="F29" s="176"/>
      <c r="G29" s="113"/>
      <c r="H29" s="114"/>
    </row>
    <row r="30" spans="2:8" ht="30" customHeight="1" x14ac:dyDescent="0.4">
      <c r="B30" s="110"/>
      <c r="C30" s="177" t="s">
        <v>183</v>
      </c>
      <c r="D30" s="178"/>
      <c r="E30" s="175" t="s">
        <v>180</v>
      </c>
      <c r="F30" s="176"/>
      <c r="G30" s="113"/>
      <c r="H30" s="114"/>
    </row>
    <row r="31" spans="2:8" ht="35.25" customHeight="1" x14ac:dyDescent="0.4">
      <c r="B31" s="110"/>
      <c r="C31" s="177" t="s">
        <v>184</v>
      </c>
      <c r="D31" s="178"/>
      <c r="E31" s="175" t="s">
        <v>185</v>
      </c>
      <c r="F31" s="176"/>
      <c r="G31" s="113"/>
      <c r="H31" s="114"/>
    </row>
    <row r="32" spans="2:8" ht="31.5" customHeight="1" x14ac:dyDescent="0.4">
      <c r="B32" s="110"/>
      <c r="C32" s="177" t="s">
        <v>186</v>
      </c>
      <c r="D32" s="178"/>
      <c r="E32" s="175" t="s">
        <v>187</v>
      </c>
      <c r="F32" s="176"/>
      <c r="G32" s="113"/>
      <c r="H32" s="114"/>
    </row>
    <row r="33" spans="2:8" ht="35.25" customHeight="1" x14ac:dyDescent="0.4">
      <c r="B33" s="110"/>
      <c r="C33" s="177" t="s">
        <v>188</v>
      </c>
      <c r="D33" s="178"/>
      <c r="E33" s="175" t="s">
        <v>189</v>
      </c>
      <c r="F33" s="176"/>
      <c r="G33" s="113"/>
      <c r="H33" s="114"/>
    </row>
    <row r="34" spans="2:8" ht="59.25" customHeight="1" x14ac:dyDescent="0.4">
      <c r="B34" s="110"/>
      <c r="C34" s="177" t="s">
        <v>190</v>
      </c>
      <c r="D34" s="178"/>
      <c r="E34" s="175" t="s">
        <v>191</v>
      </c>
      <c r="F34" s="176"/>
      <c r="G34" s="113"/>
      <c r="H34" s="114"/>
    </row>
    <row r="35" spans="2:8" ht="29.25" customHeight="1" x14ac:dyDescent="0.4">
      <c r="B35" s="110"/>
      <c r="C35" s="177" t="s">
        <v>29</v>
      </c>
      <c r="D35" s="178"/>
      <c r="E35" s="175" t="s">
        <v>192</v>
      </c>
      <c r="F35" s="176"/>
      <c r="G35" s="113"/>
      <c r="H35" s="114"/>
    </row>
    <row r="36" spans="2:8" ht="82.5" customHeight="1" x14ac:dyDescent="0.4">
      <c r="B36" s="110"/>
      <c r="C36" s="177" t="s">
        <v>194</v>
      </c>
      <c r="D36" s="178"/>
      <c r="E36" s="175" t="s">
        <v>193</v>
      </c>
      <c r="F36" s="176"/>
      <c r="G36" s="113"/>
      <c r="H36" s="114"/>
    </row>
    <row r="37" spans="2:8" ht="46.5" customHeight="1" x14ac:dyDescent="0.4">
      <c r="B37" s="110"/>
      <c r="C37" s="177" t="s">
        <v>39</v>
      </c>
      <c r="D37" s="178"/>
      <c r="E37" s="175" t="s">
        <v>195</v>
      </c>
      <c r="F37" s="176"/>
      <c r="G37" s="113"/>
      <c r="H37" s="114"/>
    </row>
    <row r="38" spans="2:8" ht="6.75" customHeight="1" thickBot="1" x14ac:dyDescent="0.45">
      <c r="B38" s="110"/>
      <c r="C38" s="188"/>
      <c r="D38" s="189"/>
      <c r="E38" s="190"/>
      <c r="F38" s="191"/>
      <c r="G38" s="113"/>
      <c r="H38" s="114"/>
    </row>
    <row r="39" spans="2:8" ht="15" thickTop="1" x14ac:dyDescent="0.4">
      <c r="B39" s="110"/>
      <c r="C39" s="111"/>
      <c r="D39" s="111"/>
      <c r="E39" s="112"/>
      <c r="F39" s="112"/>
      <c r="G39" s="113"/>
      <c r="H39" s="114"/>
    </row>
    <row r="40" spans="2:8" ht="21" customHeight="1" x14ac:dyDescent="0.4">
      <c r="B40" s="185" t="s">
        <v>204</v>
      </c>
      <c r="C40" s="186"/>
      <c r="D40" s="186"/>
      <c r="E40" s="186"/>
      <c r="F40" s="186"/>
      <c r="G40" s="186"/>
      <c r="H40" s="187"/>
    </row>
    <row r="41" spans="2:8" ht="20.25" customHeight="1" x14ac:dyDescent="0.4">
      <c r="B41" s="185" t="s">
        <v>205</v>
      </c>
      <c r="C41" s="186"/>
      <c r="D41" s="186"/>
      <c r="E41" s="186"/>
      <c r="F41" s="186"/>
      <c r="G41" s="186"/>
      <c r="H41" s="187"/>
    </row>
    <row r="42" spans="2:8" ht="20.25" customHeight="1" x14ac:dyDescent="0.4">
      <c r="B42" s="185" t="s">
        <v>206</v>
      </c>
      <c r="C42" s="186"/>
      <c r="D42" s="186"/>
      <c r="E42" s="186"/>
      <c r="F42" s="186"/>
      <c r="G42" s="186"/>
      <c r="H42" s="187"/>
    </row>
    <row r="43" spans="2:8" ht="20.25" customHeight="1" x14ac:dyDescent="0.4">
      <c r="B43" s="185" t="s">
        <v>207</v>
      </c>
      <c r="C43" s="186"/>
      <c r="D43" s="186"/>
      <c r="E43" s="186"/>
      <c r="F43" s="186"/>
      <c r="G43" s="186"/>
      <c r="H43" s="187"/>
    </row>
    <row r="44" spans="2:8" x14ac:dyDescent="0.4">
      <c r="B44" s="185" t="s">
        <v>208</v>
      </c>
      <c r="C44" s="186"/>
      <c r="D44" s="186"/>
      <c r="E44" s="186"/>
      <c r="F44" s="186"/>
      <c r="G44" s="186"/>
      <c r="H44" s="187"/>
    </row>
    <row r="45" spans="2:8" ht="15" thickBot="1" x14ac:dyDescent="0.45">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52"/>
  <sheetViews>
    <sheetView tabSelected="1" zoomScale="71" zoomScaleNormal="71" workbookViewId="0">
      <selection activeCell="AJ13" sqref="AJ13"/>
    </sheetView>
  </sheetViews>
  <sheetFormatPr baseColWidth="10" defaultColWidth="11.3828125" defaultRowHeight="14.15" x14ac:dyDescent="0.35"/>
  <cols>
    <col min="1" max="1" width="4" style="2" bestFit="1" customWidth="1"/>
    <col min="2" max="2" width="14.15234375" style="2" customWidth="1"/>
    <col min="3" max="3" width="13.15234375" style="2" customWidth="1"/>
    <col min="4" max="4" width="24.15234375" style="2" customWidth="1"/>
    <col min="5" max="5" width="32.3828125" style="1" customWidth="1"/>
    <col min="6" max="6" width="19" style="5" customWidth="1"/>
    <col min="7" max="7" width="17.84375" style="1" customWidth="1"/>
    <col min="8" max="8" width="16.53515625" style="1" customWidth="1"/>
    <col min="9" max="9" width="6.3046875" style="1" bestFit="1" customWidth="1"/>
    <col min="10" max="10" width="27.3046875" style="1" bestFit="1" customWidth="1"/>
    <col min="11" max="11" width="10.3828125" style="1" hidden="1" customWidth="1"/>
    <col min="12" max="12" width="17.53515625" style="1" customWidth="1"/>
    <col min="13" max="13" width="6.3046875" style="1" bestFit="1" customWidth="1"/>
    <col min="14" max="14" width="16" style="1" customWidth="1"/>
    <col min="15" max="15" width="5.84375" style="1" customWidth="1"/>
    <col min="16" max="16" width="31" style="1" customWidth="1"/>
    <col min="17" max="17" width="15.15234375" style="1" bestFit="1" customWidth="1"/>
    <col min="18" max="18" width="6.84375" style="1" customWidth="1"/>
    <col min="19" max="19" width="5" style="1" customWidth="1"/>
    <col min="20" max="20" width="5.53515625" style="1" customWidth="1"/>
    <col min="21" max="21" width="7.15234375" style="1" customWidth="1"/>
    <col min="22" max="22" width="6.69140625" style="1" customWidth="1"/>
    <col min="23" max="23" width="7.53515625" style="1" customWidth="1"/>
    <col min="24" max="24" width="13" style="1" hidden="1" customWidth="1"/>
    <col min="25" max="25" width="8.69140625" style="1" customWidth="1"/>
    <col min="26" max="26" width="10.3828125" style="1" customWidth="1"/>
    <col min="27" max="27" width="9.3046875" style="1" customWidth="1"/>
    <col min="28" max="28" width="9.15234375" style="1" customWidth="1"/>
    <col min="29" max="29" width="8.3828125" style="1" customWidth="1"/>
    <col min="30" max="30" width="7.3046875" style="1" customWidth="1"/>
    <col min="31" max="31" width="23" style="1" customWidth="1"/>
    <col min="32" max="32" width="18.84375" style="1" customWidth="1"/>
    <col min="33" max="33" width="16.84375" style="1" customWidth="1"/>
    <col min="34" max="34" width="14.84375" style="1" customWidth="1"/>
    <col min="35" max="35" width="18.53515625" style="1" customWidth="1"/>
    <col min="36" max="36" width="21" style="1" customWidth="1"/>
    <col min="37" max="16384" width="11.3828125" style="1"/>
  </cols>
  <sheetData>
    <row r="1" spans="1:68" ht="16.5" customHeight="1" x14ac:dyDescent="0.35">
      <c r="A1" s="214" t="s">
        <v>144</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5">
      <c r="A2" s="217"/>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4">
      <c r="A4" s="250" t="s">
        <v>43</v>
      </c>
      <c r="B4" s="251"/>
      <c r="C4" s="265" t="s">
        <v>242</v>
      </c>
      <c r="D4" s="266"/>
      <c r="E4" s="266"/>
      <c r="F4" s="266"/>
      <c r="G4" s="266"/>
      <c r="H4" s="266"/>
      <c r="I4" s="266"/>
      <c r="J4" s="266"/>
      <c r="K4" s="266"/>
      <c r="L4" s="266"/>
      <c r="M4" s="266"/>
      <c r="N4" s="267"/>
      <c r="O4" s="268"/>
      <c r="P4" s="268"/>
      <c r="Q4" s="26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4">
      <c r="A5" s="250" t="s">
        <v>130</v>
      </c>
      <c r="B5" s="251"/>
      <c r="C5" s="269" t="s">
        <v>214</v>
      </c>
      <c r="D5" s="270"/>
      <c r="E5" s="270"/>
      <c r="F5" s="270"/>
      <c r="G5" s="270"/>
      <c r="H5" s="270"/>
      <c r="I5" s="270"/>
      <c r="J5" s="270"/>
      <c r="K5" s="270"/>
      <c r="L5" s="270"/>
      <c r="M5" s="270"/>
      <c r="N5" s="270"/>
      <c r="O5" s="270"/>
      <c r="P5" s="270"/>
      <c r="Q5" s="271"/>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5">
      <c r="A6" s="250" t="s">
        <v>44</v>
      </c>
      <c r="B6" s="251"/>
      <c r="C6" s="261" t="s">
        <v>243</v>
      </c>
      <c r="D6" s="262"/>
      <c r="E6" s="262"/>
      <c r="F6" s="262"/>
      <c r="G6" s="262"/>
      <c r="H6" s="262"/>
      <c r="I6" s="262"/>
      <c r="J6" s="262"/>
      <c r="K6" s="262"/>
      <c r="L6" s="262"/>
      <c r="M6" s="262"/>
      <c r="N6" s="26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5">
      <c r="A7" s="220" t="s">
        <v>139</v>
      </c>
      <c r="B7" s="221"/>
      <c r="C7" s="221"/>
      <c r="D7" s="221"/>
      <c r="E7" s="221"/>
      <c r="F7" s="221"/>
      <c r="G7" s="222"/>
      <c r="H7" s="220" t="s">
        <v>140</v>
      </c>
      <c r="I7" s="221"/>
      <c r="J7" s="221"/>
      <c r="K7" s="221"/>
      <c r="L7" s="221"/>
      <c r="M7" s="221"/>
      <c r="N7" s="222"/>
      <c r="O7" s="220" t="s">
        <v>141</v>
      </c>
      <c r="P7" s="221"/>
      <c r="Q7" s="221"/>
      <c r="R7" s="221"/>
      <c r="S7" s="221"/>
      <c r="T7" s="221"/>
      <c r="U7" s="221"/>
      <c r="V7" s="221"/>
      <c r="W7" s="222"/>
      <c r="X7" s="220" t="s">
        <v>142</v>
      </c>
      <c r="Y7" s="221"/>
      <c r="Z7" s="221"/>
      <c r="AA7" s="221"/>
      <c r="AB7" s="221"/>
      <c r="AC7" s="221"/>
      <c r="AD7" s="222"/>
      <c r="AE7" s="220" t="s">
        <v>34</v>
      </c>
      <c r="AF7" s="221"/>
      <c r="AG7" s="221"/>
      <c r="AH7" s="221"/>
      <c r="AI7" s="221"/>
      <c r="AJ7" s="22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5">
      <c r="A8" s="252" t="s">
        <v>0</v>
      </c>
      <c r="B8" s="257" t="s">
        <v>2</v>
      </c>
      <c r="C8" s="255" t="s">
        <v>3</v>
      </c>
      <c r="D8" s="255" t="s">
        <v>42</v>
      </c>
      <c r="E8" s="256" t="s">
        <v>1</v>
      </c>
      <c r="F8" s="254" t="s">
        <v>50</v>
      </c>
      <c r="G8" s="255" t="s">
        <v>135</v>
      </c>
      <c r="H8" s="272" t="s">
        <v>33</v>
      </c>
      <c r="I8" s="273" t="s">
        <v>5</v>
      </c>
      <c r="J8" s="254" t="s">
        <v>87</v>
      </c>
      <c r="K8" s="254" t="s">
        <v>92</v>
      </c>
      <c r="L8" s="275" t="s">
        <v>45</v>
      </c>
      <c r="M8" s="273" t="s">
        <v>5</v>
      </c>
      <c r="N8" s="255" t="s">
        <v>48</v>
      </c>
      <c r="O8" s="259" t="s">
        <v>11</v>
      </c>
      <c r="P8" s="258" t="s">
        <v>163</v>
      </c>
      <c r="Q8" s="254" t="s">
        <v>12</v>
      </c>
      <c r="R8" s="258" t="s">
        <v>8</v>
      </c>
      <c r="S8" s="258"/>
      <c r="T8" s="258"/>
      <c r="U8" s="258"/>
      <c r="V8" s="258"/>
      <c r="W8" s="258"/>
      <c r="X8" s="264" t="s">
        <v>138</v>
      </c>
      <c r="Y8" s="264" t="s">
        <v>46</v>
      </c>
      <c r="Z8" s="264" t="s">
        <v>5</v>
      </c>
      <c r="AA8" s="264" t="s">
        <v>47</v>
      </c>
      <c r="AB8" s="264" t="s">
        <v>5</v>
      </c>
      <c r="AC8" s="264" t="s">
        <v>49</v>
      </c>
      <c r="AD8" s="259" t="s">
        <v>29</v>
      </c>
      <c r="AE8" s="258" t="s">
        <v>34</v>
      </c>
      <c r="AF8" s="258" t="s">
        <v>35</v>
      </c>
      <c r="AG8" s="258" t="s">
        <v>36</v>
      </c>
      <c r="AH8" s="258" t="s">
        <v>38</v>
      </c>
      <c r="AI8" s="258" t="s">
        <v>37</v>
      </c>
      <c r="AJ8" s="25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4">
      <c r="A9" s="253"/>
      <c r="B9" s="257"/>
      <c r="C9" s="258"/>
      <c r="D9" s="258"/>
      <c r="E9" s="257"/>
      <c r="F9" s="255"/>
      <c r="G9" s="258"/>
      <c r="H9" s="255"/>
      <c r="I9" s="274"/>
      <c r="J9" s="255"/>
      <c r="K9" s="255"/>
      <c r="L9" s="274"/>
      <c r="M9" s="274"/>
      <c r="N9" s="258"/>
      <c r="O9" s="260"/>
      <c r="P9" s="258"/>
      <c r="Q9" s="255"/>
      <c r="R9" s="7" t="s">
        <v>13</v>
      </c>
      <c r="S9" s="7" t="s">
        <v>17</v>
      </c>
      <c r="T9" s="7" t="s">
        <v>28</v>
      </c>
      <c r="U9" s="7" t="s">
        <v>18</v>
      </c>
      <c r="V9" s="7" t="s">
        <v>21</v>
      </c>
      <c r="W9" s="7" t="s">
        <v>24</v>
      </c>
      <c r="X9" s="264"/>
      <c r="Y9" s="264"/>
      <c r="Z9" s="264"/>
      <c r="AA9" s="264"/>
      <c r="AB9" s="264"/>
      <c r="AC9" s="264"/>
      <c r="AD9" s="260"/>
      <c r="AE9" s="258"/>
      <c r="AF9" s="258"/>
      <c r="AG9" s="258"/>
      <c r="AH9" s="258"/>
      <c r="AI9" s="258"/>
      <c r="AJ9" s="25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45.25" customHeight="1" x14ac:dyDescent="0.4">
      <c r="A10" s="147">
        <v>1</v>
      </c>
      <c r="B10" s="141" t="s">
        <v>132</v>
      </c>
      <c r="C10" s="141"/>
      <c r="D10" s="141" t="s">
        <v>216</v>
      </c>
      <c r="E10" s="149" t="s">
        <v>215</v>
      </c>
      <c r="F10" s="141" t="s">
        <v>123</v>
      </c>
      <c r="G10" s="143" t="s">
        <v>217</v>
      </c>
      <c r="H10" s="145" t="s">
        <v>219</v>
      </c>
      <c r="I10" s="153">
        <f>IF(H10="","",IF(H10="Muy Baja",0.2,IF(H10="Baja",0.4,IF(H10="Media",0.6,IF(H10="Alta",0.8,IF(H10="Muy Alta",1,))))))</f>
        <v>0.6</v>
      </c>
      <c r="J10" s="155" t="s">
        <v>57</v>
      </c>
      <c r="K10" s="153" t="str">
        <f ca="1">IF(NOT(ISERROR(MATCH(J10,'Tabla Impacto'!$B$221:$B$223,0))),'Tabla Impacto'!$F$223&amp;"Por favor no seleccionar los criterios de impacto(Afectación Económica o presupuestal y Pérdida Reputacional)",J10)</f>
        <v>Pérdida Reputacional</v>
      </c>
      <c r="L10" s="145" t="s">
        <v>218</v>
      </c>
      <c r="M10" s="153">
        <f>IF(L10="","",IF(L10="Leve",0.2,IF(L10="Menor",0.4,IF(L10="Moderado",0.6,IF(L10="Mayor",0.8,IF(L10="Catastrófico",1,))))))</f>
        <v>0.6</v>
      </c>
      <c r="N10" s="151" t="s">
        <v>218</v>
      </c>
      <c r="O10" s="125">
        <v>1</v>
      </c>
      <c r="P10" s="157" t="s">
        <v>220</v>
      </c>
      <c r="Q10" s="127" t="str">
        <f t="shared" ref="Q10:Q16" si="0">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20</v>
      </c>
      <c r="V10" s="128" t="s">
        <v>22</v>
      </c>
      <c r="W10" s="128" t="s">
        <v>120</v>
      </c>
      <c r="X10" s="130">
        <f>IFERROR(IF(Q10="Probabilidad",(I10-(+I10*T10)),IF(Q10="Impacto",I10,"")),"")</f>
        <v>0.36</v>
      </c>
      <c r="Y10" s="131" t="str">
        <f>IFERROR(IF(X10="","",IF(X10&lt;=0.2,"Muy Baja",IF(X10&lt;=0.4,"Baja",IF(X10&lt;=0.6,"Media",IF(X10&lt;=0.8,"Alta","Muy Alta"))))),"")</f>
        <v>Baja</v>
      </c>
      <c r="Z10" s="132">
        <f>+X10</f>
        <v>0.36</v>
      </c>
      <c r="AA10" s="131" t="str">
        <f>IFERROR(IF(AB10="","",IF(AB10&lt;=0.2,"Leve",IF(AB10&lt;=0.4,"Menor",IF(AB10&lt;=0.6,"Moderado",IF(AB10&lt;=0.8,"Mayor","Catastrófico"))))),"")</f>
        <v>Moderado</v>
      </c>
      <c r="AB10" s="132">
        <f>IFERROR(IF(Q10="Impacto",(M10-(+M10*T10)),IF(Q10="Probabilidad",M10,"")),"")</f>
        <v>0.6</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57" t="s">
        <v>221</v>
      </c>
      <c r="AF10" s="158" t="s">
        <v>222</v>
      </c>
      <c r="AG10" s="158" t="s">
        <v>223</v>
      </c>
      <c r="AH10" s="158" t="s">
        <v>244</v>
      </c>
      <c r="AI10" s="158" t="s">
        <v>245</v>
      </c>
      <c r="AJ10" s="136" t="s">
        <v>40</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0" customHeight="1" x14ac:dyDescent="0.35">
      <c r="A11" s="147">
        <v>2</v>
      </c>
      <c r="B11" s="141" t="s">
        <v>132</v>
      </c>
      <c r="C11" s="141"/>
      <c r="D11" s="159" t="s">
        <v>225</v>
      </c>
      <c r="E11" s="160" t="s">
        <v>224</v>
      </c>
      <c r="F11" s="141" t="s">
        <v>123</v>
      </c>
      <c r="G11" s="143" t="s">
        <v>226</v>
      </c>
      <c r="H11" s="145" t="s">
        <v>227</v>
      </c>
      <c r="I11" s="153">
        <f>IF(H11="","",IF(H11="Muy Baja",0.2,IF(H11="Baja",0.4,IF(H11="Media",0.6,IF(H11="Alta",0.8,IF(H11="Muy Alta",1,))))))</f>
        <v>0.8</v>
      </c>
      <c r="J11" s="155" t="s">
        <v>57</v>
      </c>
      <c r="K11" s="153" t="str">
        <f ca="1">IF(NOT(ISERROR(MATCH(J11,'Tabla Impacto'!$B$221:$B$223,0))),'Tabla Impacto'!$F$223&amp;"Por favor no seleccionar los criterios de impacto(Afectación Económica o presupuestal y Pérdida Reputacional)",J11)</f>
        <v>Pérdida Reputacional</v>
      </c>
      <c r="L11" s="145" t="s">
        <v>218</v>
      </c>
      <c r="M11" s="153">
        <f>IF(L11="","",IF(L11="Leve",0.2,IF(L11="Menor",0.4,IF(L11="Moderado",0.6,IF(L11="Mayor",0.8,IF(L11="Catastrófico",1,))))))</f>
        <v>0.6</v>
      </c>
      <c r="N11" s="151"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Alto</v>
      </c>
      <c r="O11" s="125">
        <v>1</v>
      </c>
      <c r="P11" s="161" t="s">
        <v>228</v>
      </c>
      <c r="Q11" s="127" t="str">
        <f t="shared" si="0"/>
        <v>Probabilidad</v>
      </c>
      <c r="R11" s="128" t="s">
        <v>14</v>
      </c>
      <c r="S11" s="128" t="s">
        <v>9</v>
      </c>
      <c r="T11" s="129" t="str">
        <f>IF(AND(R11="Preventivo",S11="Automático"),"50%",IF(AND(R11="Preventivo",S11="Manual"),"40%",IF(AND(R11="Detectivo",S11="Automático"),"40%",IF(AND(R11="Detectivo",S11="Manual"),"30%",IF(AND(R11="Correctivo",S11="Automático"),"35%",IF(AND(R11="Correctivo",S11="Manual"),"25%",""))))))</f>
        <v>40%</v>
      </c>
      <c r="U11" s="128" t="s">
        <v>20</v>
      </c>
      <c r="V11" s="128" t="s">
        <v>22</v>
      </c>
      <c r="W11" s="128" t="s">
        <v>120</v>
      </c>
      <c r="X11" s="130">
        <f>IFERROR(IF(Q11="Probabilidad",(I11-(+I11*T11)),IF(Q11="Impacto",I11,"")),"")</f>
        <v>0.48</v>
      </c>
      <c r="Y11" s="131" t="str">
        <f>IFERROR(IF(X11="","",IF(X11&lt;=0.2,"Muy Baja",IF(X11&lt;=0.4,"Baja",IF(X11&lt;=0.6,"Media",IF(X11&lt;=0.8,"Alta","Muy Alta"))))),"")</f>
        <v>Media</v>
      </c>
      <c r="Z11" s="132">
        <f>+X11</f>
        <v>0.48</v>
      </c>
      <c r="AA11" s="131" t="str">
        <f>IFERROR(IF(AB11="","",IF(AB11&lt;=0.2,"Leve",IF(AB11&lt;=0.4,"Menor",IF(AB11&lt;=0.6,"Moderado",IF(AB11&lt;=0.8,"Mayor","Catastrófico"))))),"")</f>
        <v>Moderado</v>
      </c>
      <c r="AB11" s="140">
        <f>IFERROR(IF(Q11="Impacto",(M11-(+M11*T11)),IF(Q11="Probabilidad",M11,"")),"")</f>
        <v>0.6</v>
      </c>
      <c r="AC11" s="133"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136</v>
      </c>
      <c r="AE11" s="162" t="s">
        <v>229</v>
      </c>
      <c r="AF11" s="158" t="s">
        <v>230</v>
      </c>
      <c r="AG11" s="158">
        <v>2022</v>
      </c>
      <c r="AH11" s="158" t="s">
        <v>244</v>
      </c>
      <c r="AI11" s="158" t="s">
        <v>246</v>
      </c>
      <c r="AJ11" s="136" t="s">
        <v>40</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43" customHeight="1" x14ac:dyDescent="0.35">
      <c r="A12" s="148"/>
      <c r="B12" s="164" t="s">
        <v>132</v>
      </c>
      <c r="C12" s="165"/>
      <c r="D12" s="165" t="s">
        <v>232</v>
      </c>
      <c r="E12" s="166" t="s">
        <v>231</v>
      </c>
      <c r="F12" s="165" t="s">
        <v>123</v>
      </c>
      <c r="G12" s="167" t="s">
        <v>226</v>
      </c>
      <c r="H12" s="168" t="s">
        <v>233</v>
      </c>
      <c r="I12" s="169">
        <v>0.3</v>
      </c>
      <c r="J12" s="170" t="s">
        <v>57</v>
      </c>
      <c r="K12" s="169" t="str">
        <f ca="1">IF(NOT(ISERROR(MATCH(J12,_xlfn.ANCHORARRAY(E14),0))),I16&amp;"Por favor no seleccionar los criterios de impacto",J12)</f>
        <v>Pérdida Reputacional</v>
      </c>
      <c r="L12" s="171" t="s">
        <v>218</v>
      </c>
      <c r="M12" s="169">
        <v>0.4</v>
      </c>
      <c r="N12" s="172" t="s">
        <v>218</v>
      </c>
      <c r="O12" s="163">
        <v>2</v>
      </c>
      <c r="P12" s="173" t="s">
        <v>234</v>
      </c>
      <c r="Q12" s="127" t="str">
        <f t="shared" si="0"/>
        <v>Probabilidad</v>
      </c>
      <c r="R12" s="128" t="s">
        <v>14</v>
      </c>
      <c r="S12" s="128" t="s">
        <v>9</v>
      </c>
      <c r="T12" s="129" t="str">
        <f t="shared" ref="T12" si="1">IF(AND(R12="Preventivo",S12="Automático"),"50%",IF(AND(R12="Preventivo",S12="Manual"),"40%",IF(AND(R12="Detectivo",S12="Automático"),"40%",IF(AND(R12="Detectivo",S12="Manual"),"30%",IF(AND(R12="Correctivo",S12="Automático"),"35%",IF(AND(R12="Correctivo",S12="Manual"),"25%",""))))))</f>
        <v>40%</v>
      </c>
      <c r="U12" s="128" t="s">
        <v>20</v>
      </c>
      <c r="V12" s="128" t="s">
        <v>22</v>
      </c>
      <c r="W12" s="128" t="s">
        <v>120</v>
      </c>
      <c r="X12" s="139" t="str">
        <f>IFERROR(IF(AND(#REF!="Probabilidad",Q12="Probabilidad"),(#REF!-(+#REF!*T12)),IF(Q12="Probabilidad",(#REF!-(+#REF!*T12)),IF(Q12="Impacto",#REF!,""))),"")</f>
        <v/>
      </c>
      <c r="Y12" s="131" t="s">
        <v>233</v>
      </c>
      <c r="Z12" s="132" t="str">
        <f t="shared" ref="Z12" si="2">+X12</f>
        <v/>
      </c>
      <c r="AA12" s="174" t="s">
        <v>235</v>
      </c>
      <c r="AB12" s="140" t="str">
        <f>IFERROR(IF(AND(#REF!="Impacto",Q12="Impacto"),(#REF!-(+#REF!*T12)),IF(Q12="Impacto",(#REF!-(+#REF!*T12)),IF(Q12="Probabilidad",#REF!,""))),"")</f>
        <v/>
      </c>
      <c r="AC12" s="133" t="s">
        <v>218</v>
      </c>
      <c r="AD12" s="134" t="s">
        <v>136</v>
      </c>
      <c r="AE12" s="173" t="s">
        <v>236</v>
      </c>
      <c r="AF12" s="158" t="s">
        <v>230</v>
      </c>
      <c r="AG12" s="158">
        <v>2022</v>
      </c>
      <c r="AH12" s="158" t="s">
        <v>244</v>
      </c>
      <c r="AI12" s="158" t="s">
        <v>247</v>
      </c>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251.25" customHeight="1" x14ac:dyDescent="0.35">
      <c r="A13" s="147">
        <v>4</v>
      </c>
      <c r="B13" s="141" t="s">
        <v>132</v>
      </c>
      <c r="C13" s="142"/>
      <c r="D13" s="142" t="s">
        <v>238</v>
      </c>
      <c r="E13" s="150" t="s">
        <v>237</v>
      </c>
      <c r="F13" s="142" t="s">
        <v>123</v>
      </c>
      <c r="G13" s="144" t="s">
        <v>226</v>
      </c>
      <c r="H13" s="146" t="s">
        <v>227</v>
      </c>
      <c r="I13" s="154">
        <f>IF(H13="","",IF(H13="Muy Baja",0.2,IF(H13="Baja",0.4,IF(H13="Media",0.6,IF(H13="Alta",0.8,IF(H13="Muy Alta",1,))))))</f>
        <v>0.8</v>
      </c>
      <c r="J13" s="156"/>
      <c r="K13" s="154">
        <f ca="1">IF(NOT(ISERROR(MATCH(J13,'Tabla Impacto'!$B$221:$B$223,0))),'Tabla Impacto'!$F$223&amp;"Por favor no seleccionar los criterios de impacto(Afectación Económica o presupuestal y Pérdida Reputacional)",J13)</f>
        <v>0</v>
      </c>
      <c r="L13" s="146" t="s">
        <v>239</v>
      </c>
      <c r="M13" s="154">
        <f>IF(L13="","",IF(L13="Leve",0.2,IF(L13="Menor",0.4,IF(L13="Moderado",0.6,IF(L13="Mayor",0.8,IF(L13="Catastrófico",1,))))))</f>
        <v>0.8</v>
      </c>
      <c r="N13" s="152" t="str">
        <f>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Alto</v>
      </c>
      <c r="O13" s="125">
        <v>1</v>
      </c>
      <c r="P13" s="173" t="s">
        <v>240</v>
      </c>
      <c r="Q13" s="127" t="str">
        <f t="shared" si="0"/>
        <v>Probabilidad</v>
      </c>
      <c r="R13" s="128" t="s">
        <v>14</v>
      </c>
      <c r="S13" s="128" t="s">
        <v>9</v>
      </c>
      <c r="T13" s="129" t="str">
        <f>IF(AND(R13="Preventivo",S13="Automático"),"50%",IF(AND(R13="Preventivo",S13="Manual"),"40%",IF(AND(R13="Detectivo",S13="Automático"),"40%",IF(AND(R13="Detectivo",S13="Manual"),"30%",IF(AND(R13="Correctivo",S13="Automático"),"35%",IF(AND(R13="Correctivo",S13="Manual"),"25%",""))))))</f>
        <v>40%</v>
      </c>
      <c r="U13" s="128" t="s">
        <v>20</v>
      </c>
      <c r="V13" s="128" t="s">
        <v>22</v>
      </c>
      <c r="W13" s="128" t="s">
        <v>120</v>
      </c>
      <c r="X13" s="130">
        <f>IFERROR(IF(Q13="Probabilidad",(I13-(+I13*T13)),IF(Q13="Impacto",I13,"")),"")</f>
        <v>0.48</v>
      </c>
      <c r="Y13" s="131" t="str">
        <f>IFERROR(IF(X13="","",IF(X13&lt;=0.2,"Muy Baja",IF(X13&lt;=0.4,"Baja",IF(X13&lt;=0.6,"Media",IF(X13&lt;=0.8,"Alta","Muy Alta"))))),"")</f>
        <v>Media</v>
      </c>
      <c r="Z13" s="132">
        <f>+X13</f>
        <v>0.48</v>
      </c>
      <c r="AA13" s="131" t="str">
        <f>IFERROR(IF(AB13="","",IF(AB13&lt;=0.2,"Leve",IF(AB13&lt;=0.4,"Menor",IF(AB13&lt;=0.6,"Moderado",IF(AB13&lt;=0.8,"Mayor","Catastrófico"))))),"")</f>
        <v>Mayor</v>
      </c>
      <c r="AB13" s="140">
        <f>IFERROR(IF(Q13="Impacto",(M13-(+M13*T13)),IF(Q13="Probabilidad",M13,"")),"")</f>
        <v>0.8</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34" t="s">
        <v>136</v>
      </c>
      <c r="AE13" s="173" t="s">
        <v>241</v>
      </c>
      <c r="AF13" s="158" t="s">
        <v>230</v>
      </c>
      <c r="AG13" s="158">
        <v>2022</v>
      </c>
      <c r="AH13" s="158" t="s">
        <v>244</v>
      </c>
      <c r="AI13" s="158" t="s">
        <v>248</v>
      </c>
      <c r="AJ13" s="136" t="s">
        <v>40</v>
      </c>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5">
      <c r="A14" s="232">
        <v>5</v>
      </c>
      <c r="B14" s="235"/>
      <c r="C14" s="235"/>
      <c r="D14" s="235"/>
      <c r="E14" s="238"/>
      <c r="F14" s="235"/>
      <c r="G14" s="241"/>
      <c r="H14" s="244" t="str">
        <f>IF(G14&lt;=0,"",IF(G14&lt;=2,"Muy Baja",IF(G14&lt;=24,"Baja",IF(G14&lt;=500,"Media",IF(G14&lt;=5000,"Alta","Muy Alta")))))</f>
        <v/>
      </c>
      <c r="I14" s="226" t="str">
        <f>IF(H14="","",IF(H14="Muy Baja",0.2,IF(H14="Baja",0.4,IF(H14="Media",0.6,IF(H14="Alta",0.8,IF(H14="Muy Alta",1,))))))</f>
        <v/>
      </c>
      <c r="J14" s="247"/>
      <c r="K14" s="226">
        <f ca="1">IF(NOT(ISERROR(MATCH(J14,'Tabla Impacto'!$B$221:$B$223,0))),'Tabla Impacto'!$F$223&amp;"Por favor no seleccionar los criterios de impacto(Afectación Económica o presupuestal y Pérdida Reputacional)",J14)</f>
        <v>0</v>
      </c>
      <c r="L14" s="244" t="str">
        <f ca="1">IF(OR(K14='Tabla Impacto'!$C$11,K14='Tabla Impacto'!$D$11),"Leve",IF(OR(K14='Tabla Impacto'!$C$12,K14='Tabla Impacto'!$D$12),"Menor",IF(OR(K14='Tabla Impacto'!$C$13,K14='Tabla Impacto'!$D$13),"Moderado",IF(OR(K14='Tabla Impacto'!$C$14,K14='Tabla Impacto'!$D$14),"Mayor",IF(OR(K14='Tabla Impacto'!$C$15,K14='Tabla Impacto'!$D$15),"Catastrófico","")))))</f>
        <v/>
      </c>
      <c r="M14" s="226" t="str">
        <f ca="1">IF(L14="","",IF(L14="Leve",0.2,IF(L14="Menor",0.4,IF(L14="Moderado",0.6,IF(L14="Mayor",0.8,IF(L14="Catastrófico",1,))))))</f>
        <v/>
      </c>
      <c r="N14" s="229" t="str">
        <f ca="1">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
      </c>
      <c r="O14" s="125">
        <v>1</v>
      </c>
      <c r="P14" s="126"/>
      <c r="Q14" s="127" t="str">
        <f t="shared" si="0"/>
        <v/>
      </c>
      <c r="R14" s="128"/>
      <c r="S14" s="128"/>
      <c r="T14" s="129" t="str">
        <f>IF(AND(R14="Preventivo",S14="Automático"),"50%",IF(AND(R14="Preventivo",S14="Manual"),"40%",IF(AND(R14="Detectivo",S14="Automático"),"40%",IF(AND(R14="Detectivo",S14="Manual"),"30%",IF(AND(R14="Correctivo",S14="Automático"),"35%",IF(AND(R14="Correctivo",S14="Manual"),"25%",""))))))</f>
        <v/>
      </c>
      <c r="U14" s="128"/>
      <c r="V14" s="128"/>
      <c r="W14" s="128"/>
      <c r="X14" s="130" t="str">
        <f>IFERROR(IF(Q14="Probabilidad",(I14-(+I14*T14)),IF(Q14="Impacto",I14,"")),"")</f>
        <v/>
      </c>
      <c r="Y14" s="131" t="str">
        <f>IFERROR(IF(X14="","",IF(X14&lt;=0.2,"Muy Baja",IF(X14&lt;=0.4,"Baja",IF(X14&lt;=0.6,"Media",IF(X14&lt;=0.8,"Alta","Muy Alta"))))),"")</f>
        <v/>
      </c>
      <c r="Z14" s="132" t="str">
        <f>+X14</f>
        <v/>
      </c>
      <c r="AA14" s="131" t="str">
        <f>IFERROR(IF(AB14="","",IF(AB14&lt;=0.2,"Leve",IF(AB14&lt;=0.4,"Menor",IF(AB14&lt;=0.6,"Moderado",IF(AB14&lt;=0.8,"Mayor","Catastrófico"))))),"")</f>
        <v/>
      </c>
      <c r="AB14" s="140" t="str">
        <f>IFERROR(IF(Q14="Impacto",(M14-(+M14*T14)),IF(Q14="Probabilidad",M14,"")),"")</f>
        <v/>
      </c>
      <c r="AC14" s="133"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5">
      <c r="A15" s="233"/>
      <c r="B15" s="236"/>
      <c r="C15" s="236"/>
      <c r="D15" s="236"/>
      <c r="E15" s="239"/>
      <c r="F15" s="236"/>
      <c r="G15" s="242"/>
      <c r="H15" s="245"/>
      <c r="I15" s="227"/>
      <c r="J15" s="248"/>
      <c r="K15" s="227">
        <f t="shared" ref="K15:K19" ca="1" si="3">IF(NOT(ISERROR(MATCH(J15,_xlfn.ANCHORARRAY(E26),0))),I28&amp;"Por favor no seleccionar los criterios de impacto",J15)</f>
        <v>0</v>
      </c>
      <c r="L15" s="245"/>
      <c r="M15" s="227"/>
      <c r="N15" s="230"/>
      <c r="O15" s="125">
        <v>2</v>
      </c>
      <c r="P15" s="126"/>
      <c r="Q15" s="127" t="str">
        <f t="shared" si="0"/>
        <v/>
      </c>
      <c r="R15" s="128"/>
      <c r="S15" s="128"/>
      <c r="T15" s="129" t="str">
        <f t="shared" ref="T15:T19" si="4">IF(AND(R15="Preventivo",S15="Automático"),"50%",IF(AND(R15="Preventivo",S15="Manual"),"40%",IF(AND(R15="Detectivo",S15="Automático"),"40%",IF(AND(R15="Detectivo",S15="Manual"),"30%",IF(AND(R15="Correctivo",S15="Automático"),"35%",IF(AND(R15="Correctivo",S15="Manual"),"25%",""))))))</f>
        <v/>
      </c>
      <c r="U15" s="128"/>
      <c r="V15" s="128"/>
      <c r="W15" s="128"/>
      <c r="X15" s="130" t="str">
        <f>IFERROR(IF(AND(Q14="Probabilidad",Q15="Probabilidad"),(Z14-(+Z14*T15)),IF(Q15="Probabilidad",(I14-(+I14*T15)),IF(Q15="Impacto",Z14,""))),"")</f>
        <v/>
      </c>
      <c r="Y15" s="131" t="str">
        <f t="shared" ref="Y15:Y49" si="5">IFERROR(IF(X15="","",IF(X15&lt;=0.2,"Muy Baja",IF(X15&lt;=0.4,"Baja",IF(X15&lt;=0.6,"Media",IF(X15&lt;=0.8,"Alta","Muy Alta"))))),"")</f>
        <v/>
      </c>
      <c r="Z15" s="132" t="str">
        <f t="shared" ref="Z15:Z19" si="6">+X15</f>
        <v/>
      </c>
      <c r="AA15" s="131" t="str">
        <f t="shared" ref="AA15:AA49" si="7">IFERROR(IF(AB15="","",IF(AB15&lt;=0.2,"Leve",IF(AB15&lt;=0.4,"Menor",IF(AB15&lt;=0.6,"Moderado",IF(AB15&lt;=0.8,"Mayor","Catastrófico"))))),"")</f>
        <v/>
      </c>
      <c r="AB15" s="140" t="str">
        <f>IFERROR(IF(AND(Q14="Impacto",Q15="Impacto"),(AB14-(+AB14*T15)),IF(Q15="Impacto",(M14-(+M14*T15)),IF(Q15="Probabilidad",AB14,""))),"")</f>
        <v/>
      </c>
      <c r="AC15" s="133" t="str">
        <f t="shared" ref="AC15:AC16" si="8">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5">
      <c r="A16" s="233"/>
      <c r="B16" s="236"/>
      <c r="C16" s="236"/>
      <c r="D16" s="236"/>
      <c r="E16" s="239"/>
      <c r="F16" s="236"/>
      <c r="G16" s="242"/>
      <c r="H16" s="245"/>
      <c r="I16" s="227"/>
      <c r="J16" s="248"/>
      <c r="K16" s="227">
        <f t="shared" ca="1" si="3"/>
        <v>0</v>
      </c>
      <c r="L16" s="245"/>
      <c r="M16" s="227"/>
      <c r="N16" s="230"/>
      <c r="O16" s="125">
        <v>3</v>
      </c>
      <c r="P16" s="138"/>
      <c r="Q16" s="127" t="str">
        <f t="shared" si="0"/>
        <v/>
      </c>
      <c r="R16" s="128"/>
      <c r="S16" s="128"/>
      <c r="T16" s="129" t="str">
        <f t="shared" si="4"/>
        <v/>
      </c>
      <c r="U16" s="128"/>
      <c r="V16" s="128"/>
      <c r="W16" s="128"/>
      <c r="X16" s="130" t="str">
        <f>IFERROR(IF(AND(Q15="Probabilidad",Q16="Probabilidad"),(Z15-(+Z15*T16)),IF(AND(Q15="Impacto",Q16="Probabilidad"),(Z14-(+Z14*T16)),IF(Q16="Impacto",Z15,""))),"")</f>
        <v/>
      </c>
      <c r="Y16" s="131" t="str">
        <f t="shared" si="5"/>
        <v/>
      </c>
      <c r="Z16" s="132" t="str">
        <f t="shared" si="6"/>
        <v/>
      </c>
      <c r="AA16" s="131" t="str">
        <f t="shared" si="7"/>
        <v/>
      </c>
      <c r="AB16" s="140" t="str">
        <f>IFERROR(IF(AND(Q15="Impacto",Q16="Impacto"),(AB15-(+AB15*T16)),IF(AND(Q15="Probabilidad",Q16="Impacto"),(AB14-(+AB14*T16)),IF(Q16="Probabilidad",AB15,""))),"")</f>
        <v/>
      </c>
      <c r="AC16" s="133" t="str">
        <f t="shared" si="8"/>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5">
      <c r="A17" s="233"/>
      <c r="B17" s="236"/>
      <c r="C17" s="236"/>
      <c r="D17" s="236"/>
      <c r="E17" s="239"/>
      <c r="F17" s="236"/>
      <c r="G17" s="242"/>
      <c r="H17" s="245"/>
      <c r="I17" s="227"/>
      <c r="J17" s="248"/>
      <c r="K17" s="227">
        <f t="shared" ca="1" si="3"/>
        <v>0</v>
      </c>
      <c r="L17" s="245"/>
      <c r="M17" s="227"/>
      <c r="N17" s="230"/>
      <c r="O17" s="125">
        <v>4</v>
      </c>
      <c r="P17" s="126"/>
      <c r="Q17" s="127" t="str">
        <f t="shared" ref="Q17:Q19" si="9">IF(OR(R17="Preventivo",R17="Detectivo"),"Probabilidad",IF(R17="Correctivo","Impacto",""))</f>
        <v/>
      </c>
      <c r="R17" s="128"/>
      <c r="S17" s="128"/>
      <c r="T17" s="129" t="str">
        <f t="shared" si="4"/>
        <v/>
      </c>
      <c r="U17" s="128"/>
      <c r="V17" s="128"/>
      <c r="W17" s="128"/>
      <c r="X17" s="130" t="str">
        <f t="shared" ref="X17:X19" si="10">IFERROR(IF(AND(Q16="Probabilidad",Q17="Probabilidad"),(Z16-(+Z16*T17)),IF(AND(Q16="Impacto",Q17="Probabilidad"),(Z15-(+Z15*T17)),IF(Q17="Impacto",Z16,""))),"")</f>
        <v/>
      </c>
      <c r="Y17" s="131" t="str">
        <f t="shared" si="5"/>
        <v/>
      </c>
      <c r="Z17" s="132" t="str">
        <f t="shared" si="6"/>
        <v/>
      </c>
      <c r="AA17" s="131" t="str">
        <f t="shared" si="7"/>
        <v/>
      </c>
      <c r="AB17" s="140" t="str">
        <f t="shared" ref="AB17:AB19" si="11">IFERROR(IF(AND(Q16="Impacto",Q17="Impacto"),(AB16-(+AB16*T17)),IF(AND(Q16="Probabilidad",Q17="Impacto"),(AB15-(+AB15*T17)),IF(Q17="Probabilidad",AB16,""))),"")</f>
        <v/>
      </c>
      <c r="AC17" s="133"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5">
      <c r="A18" s="233"/>
      <c r="B18" s="236"/>
      <c r="C18" s="236"/>
      <c r="D18" s="236"/>
      <c r="E18" s="239"/>
      <c r="F18" s="236"/>
      <c r="G18" s="242"/>
      <c r="H18" s="245"/>
      <c r="I18" s="227"/>
      <c r="J18" s="248"/>
      <c r="K18" s="227">
        <f t="shared" ca="1" si="3"/>
        <v>0</v>
      </c>
      <c r="L18" s="245"/>
      <c r="M18" s="227"/>
      <c r="N18" s="230"/>
      <c r="O18" s="125">
        <v>5</v>
      </c>
      <c r="P18" s="126"/>
      <c r="Q18" s="127" t="str">
        <f t="shared" si="9"/>
        <v/>
      </c>
      <c r="R18" s="128"/>
      <c r="S18" s="128"/>
      <c r="T18" s="129" t="str">
        <f t="shared" si="4"/>
        <v/>
      </c>
      <c r="U18" s="128"/>
      <c r="V18" s="128"/>
      <c r="W18" s="128"/>
      <c r="X18" s="130" t="str">
        <f t="shared" si="10"/>
        <v/>
      </c>
      <c r="Y18" s="131" t="str">
        <f t="shared" si="5"/>
        <v/>
      </c>
      <c r="Z18" s="132" t="str">
        <f t="shared" si="6"/>
        <v/>
      </c>
      <c r="AA18" s="131" t="str">
        <f t="shared" si="7"/>
        <v/>
      </c>
      <c r="AB18" s="140" t="str">
        <f t="shared" si="11"/>
        <v/>
      </c>
      <c r="AC18" s="133" t="str">
        <f t="shared" ref="AC18:AC19" si="12">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5">
      <c r="A19" s="234"/>
      <c r="B19" s="237"/>
      <c r="C19" s="237"/>
      <c r="D19" s="237"/>
      <c r="E19" s="240"/>
      <c r="F19" s="237"/>
      <c r="G19" s="243"/>
      <c r="H19" s="246"/>
      <c r="I19" s="228"/>
      <c r="J19" s="249"/>
      <c r="K19" s="228">
        <f t="shared" ca="1" si="3"/>
        <v>0</v>
      </c>
      <c r="L19" s="246"/>
      <c r="M19" s="228"/>
      <c r="N19" s="231"/>
      <c r="O19" s="125">
        <v>6</v>
      </c>
      <c r="P19" s="126"/>
      <c r="Q19" s="127" t="str">
        <f t="shared" si="9"/>
        <v/>
      </c>
      <c r="R19" s="128"/>
      <c r="S19" s="128"/>
      <c r="T19" s="129" t="str">
        <f t="shared" si="4"/>
        <v/>
      </c>
      <c r="U19" s="128"/>
      <c r="V19" s="128"/>
      <c r="W19" s="128"/>
      <c r="X19" s="130" t="str">
        <f t="shared" si="10"/>
        <v/>
      </c>
      <c r="Y19" s="131" t="str">
        <f t="shared" si="5"/>
        <v/>
      </c>
      <c r="Z19" s="132" t="str">
        <f t="shared" si="6"/>
        <v/>
      </c>
      <c r="AA19" s="131" t="str">
        <f t="shared" si="7"/>
        <v/>
      </c>
      <c r="AB19" s="140" t="str">
        <f t="shared" si="11"/>
        <v/>
      </c>
      <c r="AC19" s="133" t="str">
        <f t="shared" si="12"/>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5">
      <c r="A20" s="232">
        <v>6</v>
      </c>
      <c r="B20" s="235"/>
      <c r="C20" s="235"/>
      <c r="D20" s="235"/>
      <c r="E20" s="238"/>
      <c r="F20" s="235"/>
      <c r="G20" s="241"/>
      <c r="H20" s="244" t="str">
        <f>IF(G20&lt;=0,"",IF(G20&lt;=2,"Muy Baja",IF(G20&lt;=24,"Baja",IF(G20&lt;=500,"Media",IF(G20&lt;=5000,"Alta","Muy Alta")))))</f>
        <v/>
      </c>
      <c r="I20" s="226" t="str">
        <f>IF(H20="","",IF(H20="Muy Baja",0.2,IF(H20="Baja",0.4,IF(H20="Media",0.6,IF(H20="Alta",0.8,IF(H20="Muy Alta",1,))))))</f>
        <v/>
      </c>
      <c r="J20" s="247"/>
      <c r="K20" s="226">
        <f ca="1">IF(NOT(ISERROR(MATCH(J20,'Tabla Impacto'!$B$221:$B$223,0))),'Tabla Impacto'!$F$223&amp;"Por favor no seleccionar los criterios de impacto(Afectación Económica o presupuestal y Pérdida Reputacional)",J20)</f>
        <v>0</v>
      </c>
      <c r="L20" s="244" t="str">
        <f ca="1">IF(OR(K20='Tabla Impacto'!$C$11,K20='Tabla Impacto'!$D$11),"Leve",IF(OR(K20='Tabla Impacto'!$C$12,K20='Tabla Impacto'!$D$12),"Menor",IF(OR(K20='Tabla Impacto'!$C$13,K20='Tabla Impacto'!$D$13),"Moderado",IF(OR(K20='Tabla Impacto'!$C$14,K20='Tabla Impacto'!$D$14),"Mayor",IF(OR(K20='Tabla Impacto'!$C$15,K20='Tabla Impacto'!$D$15),"Catastrófico","")))))</f>
        <v/>
      </c>
      <c r="M20" s="226" t="str">
        <f ca="1">IF(L20="","",IF(L20="Leve",0.2,IF(L20="Menor",0.4,IF(L20="Moderado",0.6,IF(L20="Mayor",0.8,IF(L20="Catastrófico",1,))))))</f>
        <v/>
      </c>
      <c r="N20" s="229" t="str">
        <f ca="1">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125">
        <v>1</v>
      </c>
      <c r="P20" s="126"/>
      <c r="Q20" s="127" t="str">
        <f>IF(OR(R20="Preventivo",R20="Detectivo"),"Probabilidad",IF(R20="Correctivo","Impacto",""))</f>
        <v/>
      </c>
      <c r="R20" s="128"/>
      <c r="S20" s="128"/>
      <c r="T20" s="129" t="str">
        <f>IF(AND(R20="Preventivo",S20="Automático"),"50%",IF(AND(R20="Preventivo",S20="Manual"),"40%",IF(AND(R20="Detectivo",S20="Automático"),"40%",IF(AND(R20="Detectivo",S20="Manual"),"30%",IF(AND(R20="Correctivo",S20="Automático"),"35%",IF(AND(R20="Correctivo",S20="Manual"),"25%",""))))))</f>
        <v/>
      </c>
      <c r="U20" s="128"/>
      <c r="V20" s="128"/>
      <c r="W20" s="128"/>
      <c r="X20" s="130" t="str">
        <f>IFERROR(IF(Q20="Probabilidad",(I20-(+I20*T20)),IF(Q20="Impacto",I20,"")),"")</f>
        <v/>
      </c>
      <c r="Y20" s="131" t="str">
        <f>IFERROR(IF(X20="","",IF(X20&lt;=0.2,"Muy Baja",IF(X20&lt;=0.4,"Baja",IF(X20&lt;=0.6,"Media",IF(X20&lt;=0.8,"Alta","Muy Alta"))))),"")</f>
        <v/>
      </c>
      <c r="Z20" s="132" t="str">
        <f>+X20</f>
        <v/>
      </c>
      <c r="AA20" s="131" t="str">
        <f>IFERROR(IF(AB20="","",IF(AB20&lt;=0.2,"Leve",IF(AB20&lt;=0.4,"Menor",IF(AB20&lt;=0.6,"Moderado",IF(AB20&lt;=0.8,"Mayor","Catastrófico"))))),"")</f>
        <v/>
      </c>
      <c r="AB20" s="140" t="str">
        <f>IFERROR(IF(Q20="Impacto",(M20-(+M20*T20)),IF(Q20="Probabilidad",M20,"")),"")</f>
        <v/>
      </c>
      <c r="AC20" s="133"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5">
      <c r="A21" s="233"/>
      <c r="B21" s="236"/>
      <c r="C21" s="236"/>
      <c r="D21" s="236"/>
      <c r="E21" s="239"/>
      <c r="F21" s="236"/>
      <c r="G21" s="242"/>
      <c r="H21" s="245"/>
      <c r="I21" s="227"/>
      <c r="J21" s="248"/>
      <c r="K21" s="227">
        <f t="shared" ref="K21:K25" ca="1" si="13">IF(NOT(ISERROR(MATCH(J21,_xlfn.ANCHORARRAY(E32),0))),I34&amp;"Por favor no seleccionar los criterios de impacto",J21)</f>
        <v>0</v>
      </c>
      <c r="L21" s="245"/>
      <c r="M21" s="227"/>
      <c r="N21" s="230"/>
      <c r="O21" s="125">
        <v>2</v>
      </c>
      <c r="P21" s="126"/>
      <c r="Q21" s="127" t="str">
        <f>IF(OR(R21="Preventivo",R21="Detectivo"),"Probabilidad",IF(R21="Correctivo","Impacto",""))</f>
        <v/>
      </c>
      <c r="R21" s="128"/>
      <c r="S21" s="128"/>
      <c r="T21" s="129" t="str">
        <f t="shared" ref="T21:T25" si="14">IF(AND(R21="Preventivo",S21="Automático"),"50%",IF(AND(R21="Preventivo",S21="Manual"),"40%",IF(AND(R21="Detectivo",S21="Automático"),"40%",IF(AND(R21="Detectivo",S21="Manual"),"30%",IF(AND(R21="Correctivo",S21="Automático"),"35%",IF(AND(R21="Correctivo",S21="Manual"),"25%",""))))))</f>
        <v/>
      </c>
      <c r="U21" s="128"/>
      <c r="V21" s="128"/>
      <c r="W21" s="128"/>
      <c r="X21" s="130" t="str">
        <f>IFERROR(IF(AND(Q20="Probabilidad",Q21="Probabilidad"),(Z20-(+Z20*T21)),IF(Q21="Probabilidad",(I20-(+I20*T21)),IF(Q21="Impacto",Z20,""))),"")</f>
        <v/>
      </c>
      <c r="Y21" s="131" t="str">
        <f t="shared" si="5"/>
        <v/>
      </c>
      <c r="Z21" s="132" t="str">
        <f t="shared" ref="Z21:Z25" si="15">+X21</f>
        <v/>
      </c>
      <c r="AA21" s="131" t="str">
        <f t="shared" si="7"/>
        <v/>
      </c>
      <c r="AB21" s="140" t="str">
        <f>IFERROR(IF(AND(Q20="Impacto",Q21="Impacto"),(AB20-(+AB20*T21)),IF(Q21="Impacto",(M20-(+M20*T21)),IF(Q21="Probabilidad",AB20,""))),"")</f>
        <v/>
      </c>
      <c r="AC21" s="133" t="str">
        <f t="shared" ref="AC21:AC22" si="16">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5">
      <c r="A22" s="233"/>
      <c r="B22" s="236"/>
      <c r="C22" s="236"/>
      <c r="D22" s="236"/>
      <c r="E22" s="239"/>
      <c r="F22" s="236"/>
      <c r="G22" s="242"/>
      <c r="H22" s="245"/>
      <c r="I22" s="227"/>
      <c r="J22" s="248"/>
      <c r="K22" s="227">
        <f t="shared" ca="1" si="13"/>
        <v>0</v>
      </c>
      <c r="L22" s="245"/>
      <c r="M22" s="227"/>
      <c r="N22" s="230"/>
      <c r="O22" s="125">
        <v>3</v>
      </c>
      <c r="P22" s="138"/>
      <c r="Q22" s="127" t="str">
        <f>IF(OR(R22="Preventivo",R22="Detectivo"),"Probabilidad",IF(R22="Correctivo","Impacto",""))</f>
        <v/>
      </c>
      <c r="R22" s="128"/>
      <c r="S22" s="128"/>
      <c r="T22" s="129" t="str">
        <f t="shared" si="14"/>
        <v/>
      </c>
      <c r="U22" s="128"/>
      <c r="V22" s="128"/>
      <c r="W22" s="128"/>
      <c r="X22" s="130" t="str">
        <f>IFERROR(IF(AND(Q21="Probabilidad",Q22="Probabilidad"),(Z21-(+Z21*T22)),IF(AND(Q21="Impacto",Q22="Probabilidad"),(Z20-(+Z20*T22)),IF(Q22="Impacto",Z21,""))),"")</f>
        <v/>
      </c>
      <c r="Y22" s="131" t="str">
        <f t="shared" si="5"/>
        <v/>
      </c>
      <c r="Z22" s="132" t="str">
        <f t="shared" si="15"/>
        <v/>
      </c>
      <c r="AA22" s="131" t="str">
        <f t="shared" si="7"/>
        <v/>
      </c>
      <c r="AB22" s="140" t="str">
        <f>IFERROR(IF(AND(Q21="Impacto",Q22="Impacto"),(AB21-(+AB21*T22)),IF(AND(Q21="Probabilidad",Q22="Impacto"),(AB20-(+AB20*T22)),IF(Q22="Probabilidad",AB21,""))),"")</f>
        <v/>
      </c>
      <c r="AC22" s="133" t="str">
        <f t="shared" si="16"/>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5">
      <c r="A23" s="233"/>
      <c r="B23" s="236"/>
      <c r="C23" s="236"/>
      <c r="D23" s="236"/>
      <c r="E23" s="239"/>
      <c r="F23" s="236"/>
      <c r="G23" s="242"/>
      <c r="H23" s="245"/>
      <c r="I23" s="227"/>
      <c r="J23" s="248"/>
      <c r="K23" s="227">
        <f t="shared" ca="1" si="13"/>
        <v>0</v>
      </c>
      <c r="L23" s="245"/>
      <c r="M23" s="227"/>
      <c r="N23" s="230"/>
      <c r="O23" s="125">
        <v>4</v>
      </c>
      <c r="P23" s="126"/>
      <c r="Q23" s="127" t="str">
        <f t="shared" ref="Q23:Q25" si="17">IF(OR(R23="Preventivo",R23="Detectivo"),"Probabilidad",IF(R23="Correctivo","Impacto",""))</f>
        <v/>
      </c>
      <c r="R23" s="128"/>
      <c r="S23" s="128"/>
      <c r="T23" s="129" t="str">
        <f t="shared" si="14"/>
        <v/>
      </c>
      <c r="U23" s="128"/>
      <c r="V23" s="128"/>
      <c r="W23" s="128"/>
      <c r="X23" s="130" t="str">
        <f t="shared" ref="X23:X25" si="18">IFERROR(IF(AND(Q22="Probabilidad",Q23="Probabilidad"),(Z22-(+Z22*T23)),IF(AND(Q22="Impacto",Q23="Probabilidad"),(Z21-(+Z21*T23)),IF(Q23="Impacto",Z22,""))),"")</f>
        <v/>
      </c>
      <c r="Y23" s="131" t="str">
        <f t="shared" si="5"/>
        <v/>
      </c>
      <c r="Z23" s="132" t="str">
        <f t="shared" si="15"/>
        <v/>
      </c>
      <c r="AA23" s="131" t="str">
        <f t="shared" si="7"/>
        <v/>
      </c>
      <c r="AB23" s="140" t="str">
        <f t="shared" ref="AB23:AB25" si="19">IFERROR(IF(AND(Q22="Impacto",Q23="Impacto"),(AB22-(+AB22*T23)),IF(AND(Q22="Probabilidad",Q23="Impacto"),(AB21-(+AB21*T23)),IF(Q23="Probabilidad",AB22,""))),"")</f>
        <v/>
      </c>
      <c r="AC23" s="133"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5">
      <c r="A24" s="233"/>
      <c r="B24" s="236"/>
      <c r="C24" s="236"/>
      <c r="D24" s="236"/>
      <c r="E24" s="239"/>
      <c r="F24" s="236"/>
      <c r="G24" s="242"/>
      <c r="H24" s="245"/>
      <c r="I24" s="227"/>
      <c r="J24" s="248"/>
      <c r="K24" s="227">
        <f t="shared" ca="1" si="13"/>
        <v>0</v>
      </c>
      <c r="L24" s="245"/>
      <c r="M24" s="227"/>
      <c r="N24" s="230"/>
      <c r="O24" s="125">
        <v>5</v>
      </c>
      <c r="P24" s="126"/>
      <c r="Q24" s="127" t="str">
        <f t="shared" si="17"/>
        <v/>
      </c>
      <c r="R24" s="128"/>
      <c r="S24" s="128"/>
      <c r="T24" s="129" t="str">
        <f t="shared" si="14"/>
        <v/>
      </c>
      <c r="U24" s="128"/>
      <c r="V24" s="128"/>
      <c r="W24" s="128"/>
      <c r="X24" s="130" t="str">
        <f t="shared" si="18"/>
        <v/>
      </c>
      <c r="Y24" s="131" t="str">
        <f t="shared" si="5"/>
        <v/>
      </c>
      <c r="Z24" s="132" t="str">
        <f t="shared" si="15"/>
        <v/>
      </c>
      <c r="AA24" s="131" t="str">
        <f t="shared" si="7"/>
        <v/>
      </c>
      <c r="AB24" s="140" t="str">
        <f t="shared" si="19"/>
        <v/>
      </c>
      <c r="AC24" s="133" t="str">
        <f t="shared" ref="AC24" si="20">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5">
      <c r="A25" s="234"/>
      <c r="B25" s="237"/>
      <c r="C25" s="237"/>
      <c r="D25" s="237"/>
      <c r="E25" s="240"/>
      <c r="F25" s="237"/>
      <c r="G25" s="243"/>
      <c r="H25" s="246"/>
      <c r="I25" s="228"/>
      <c r="J25" s="249"/>
      <c r="K25" s="228">
        <f t="shared" ca="1" si="13"/>
        <v>0</v>
      </c>
      <c r="L25" s="246"/>
      <c r="M25" s="228"/>
      <c r="N25" s="231"/>
      <c r="O25" s="125">
        <v>6</v>
      </c>
      <c r="P25" s="126"/>
      <c r="Q25" s="127" t="str">
        <f t="shared" si="17"/>
        <v/>
      </c>
      <c r="R25" s="128"/>
      <c r="S25" s="128"/>
      <c r="T25" s="129" t="str">
        <f t="shared" si="14"/>
        <v/>
      </c>
      <c r="U25" s="128"/>
      <c r="V25" s="128"/>
      <c r="W25" s="128"/>
      <c r="X25" s="130" t="str">
        <f t="shared" si="18"/>
        <v/>
      </c>
      <c r="Y25" s="131" t="str">
        <f t="shared" si="5"/>
        <v/>
      </c>
      <c r="Z25" s="132" t="str">
        <f t="shared" si="15"/>
        <v/>
      </c>
      <c r="AA25" s="131" t="str">
        <f>IFERROR(IF(AB25="","",IF(AB25&lt;=0.2,"Leve",IF(AB25&lt;=0.4,"Menor",IF(AB25&lt;=0.6,"Moderado",IF(AB25&lt;=0.8,"Mayor","Catastrófico"))))),"")</f>
        <v/>
      </c>
      <c r="AB25" s="140" t="str">
        <f t="shared" si="19"/>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5">
      <c r="A26" s="232">
        <v>7</v>
      </c>
      <c r="B26" s="235"/>
      <c r="C26" s="235"/>
      <c r="D26" s="235"/>
      <c r="E26" s="238"/>
      <c r="F26" s="235"/>
      <c r="G26" s="241"/>
      <c r="H26" s="244" t="str">
        <f>IF(G26&lt;=0,"",IF(G26&lt;=2,"Muy Baja",IF(G26&lt;=24,"Baja",IF(G26&lt;=500,"Media",IF(G26&lt;=5000,"Alta","Muy Alta")))))</f>
        <v/>
      </c>
      <c r="I26" s="226" t="str">
        <f>IF(H26="","",IF(H26="Muy Baja",0.2,IF(H26="Baja",0.4,IF(H26="Media",0.6,IF(H26="Alta",0.8,IF(H26="Muy Alta",1,))))))</f>
        <v/>
      </c>
      <c r="J26" s="247"/>
      <c r="K26" s="226">
        <f ca="1">IF(NOT(ISERROR(MATCH(J26,'Tabla Impacto'!$B$221:$B$223,0))),'Tabla Impacto'!$F$223&amp;"Por favor no seleccionar los criterios de impacto(Afectación Económica o presupuestal y Pérdida Reputacional)",J26)</f>
        <v>0</v>
      </c>
      <c r="L26" s="244" t="str">
        <f ca="1">IF(OR(K26='Tabla Impacto'!$C$11,K26='Tabla Impacto'!$D$11),"Leve",IF(OR(K26='Tabla Impacto'!$C$12,K26='Tabla Impacto'!$D$12),"Menor",IF(OR(K26='Tabla Impacto'!$C$13,K26='Tabla Impacto'!$D$13),"Moderado",IF(OR(K26='Tabla Impacto'!$C$14,K26='Tabla Impacto'!$D$14),"Mayor",IF(OR(K26='Tabla Impacto'!$C$15,K26='Tabla Impacto'!$D$15),"Catastrófico","")))))</f>
        <v/>
      </c>
      <c r="M26" s="226" t="str">
        <f ca="1">IF(L26="","",IF(L26="Leve",0.2,IF(L26="Menor",0.4,IF(L26="Moderado",0.6,IF(L26="Mayor",0.8,IF(L26="Catastrófico",1,))))))</f>
        <v/>
      </c>
      <c r="N26" s="229" t="str">
        <f ca="1">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
      </c>
      <c r="O26" s="125">
        <v>1</v>
      </c>
      <c r="P26" s="126"/>
      <c r="Q26" s="127" t="str">
        <f>IF(OR(R26="Preventivo",R26="Detectivo"),"Probabilidad",IF(R26="Correctivo","Impacto",""))</f>
        <v/>
      </c>
      <c r="R26" s="128"/>
      <c r="S26" s="128"/>
      <c r="T26" s="129" t="str">
        <f>IF(AND(R26="Preventivo",S26="Automático"),"50%",IF(AND(R26="Preventivo",S26="Manual"),"40%",IF(AND(R26="Detectivo",S26="Automático"),"40%",IF(AND(R26="Detectivo",S26="Manual"),"30%",IF(AND(R26="Correctivo",S26="Automático"),"35%",IF(AND(R26="Correctivo",S26="Manual"),"25%",""))))))</f>
        <v/>
      </c>
      <c r="U26" s="128"/>
      <c r="V26" s="128"/>
      <c r="W26" s="128"/>
      <c r="X26" s="130" t="str">
        <f>IFERROR(IF(Q26="Probabilidad",(I26-(+I26*T26)),IF(Q26="Impacto",I26,"")),"")</f>
        <v/>
      </c>
      <c r="Y26" s="131" t="str">
        <f>IFERROR(IF(X26="","",IF(X26&lt;=0.2,"Muy Baja",IF(X26&lt;=0.4,"Baja",IF(X26&lt;=0.6,"Media",IF(X26&lt;=0.8,"Alta","Muy Alta"))))),"")</f>
        <v/>
      </c>
      <c r="Z26" s="132" t="str">
        <f>+X26</f>
        <v/>
      </c>
      <c r="AA26" s="131" t="str">
        <f>IFERROR(IF(AB26="","",IF(AB26&lt;=0.2,"Leve",IF(AB26&lt;=0.4,"Menor",IF(AB26&lt;=0.6,"Moderado",IF(AB26&lt;=0.8,"Mayor","Catastrófico"))))),"")</f>
        <v/>
      </c>
      <c r="AB26" s="140" t="str">
        <f>IFERROR(IF(Q26="Impacto",(M26-(+M26*T26)),IF(Q26="Probabilidad",M26,"")),"")</f>
        <v/>
      </c>
      <c r="AC26" s="133"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5">
      <c r="A27" s="233"/>
      <c r="B27" s="236"/>
      <c r="C27" s="236"/>
      <c r="D27" s="236"/>
      <c r="E27" s="239"/>
      <c r="F27" s="236"/>
      <c r="G27" s="242"/>
      <c r="H27" s="245"/>
      <c r="I27" s="227"/>
      <c r="J27" s="248"/>
      <c r="K27" s="227">
        <f t="shared" ref="K27:K31" ca="1" si="21">IF(NOT(ISERROR(MATCH(J27,_xlfn.ANCHORARRAY(E38),0))),I40&amp;"Por favor no seleccionar los criterios de impacto",J27)</f>
        <v>0</v>
      </c>
      <c r="L27" s="245"/>
      <c r="M27" s="227"/>
      <c r="N27" s="230"/>
      <c r="O27" s="125">
        <v>2</v>
      </c>
      <c r="P27" s="126"/>
      <c r="Q27" s="127" t="str">
        <f>IF(OR(R27="Preventivo",R27="Detectivo"),"Probabilidad",IF(R27="Correctivo","Impacto",""))</f>
        <v/>
      </c>
      <c r="R27" s="128"/>
      <c r="S27" s="128"/>
      <c r="T27" s="129" t="str">
        <f t="shared" ref="T27:T31" si="22">IF(AND(R27="Preventivo",S27="Automático"),"50%",IF(AND(R27="Preventivo",S27="Manual"),"40%",IF(AND(R27="Detectivo",S27="Automático"),"40%",IF(AND(R27="Detectivo",S27="Manual"),"30%",IF(AND(R27="Correctivo",S27="Automático"),"35%",IF(AND(R27="Correctivo",S27="Manual"),"25%",""))))))</f>
        <v/>
      </c>
      <c r="U27" s="128"/>
      <c r="V27" s="128"/>
      <c r="W27" s="128"/>
      <c r="X27" s="130" t="str">
        <f>IFERROR(IF(AND(Q26="Probabilidad",Q27="Probabilidad"),(Z26-(+Z26*T27)),IF(Q27="Probabilidad",(I26-(+I26*T27)),IF(Q27="Impacto",Z26,""))),"")</f>
        <v/>
      </c>
      <c r="Y27" s="131" t="str">
        <f t="shared" si="5"/>
        <v/>
      </c>
      <c r="Z27" s="132" t="str">
        <f t="shared" ref="Z27:Z31" si="23">+X27</f>
        <v/>
      </c>
      <c r="AA27" s="131" t="str">
        <f t="shared" si="7"/>
        <v/>
      </c>
      <c r="AB27" s="140" t="str">
        <f>IFERROR(IF(AND(Q26="Impacto",Q27="Impacto"),(AB26-(+AB26*T27)),IF(Q27="Impacto",(M26-(+M26*T27)),IF(Q27="Probabilidad",AB26,""))),"")</f>
        <v/>
      </c>
      <c r="AC27" s="133" t="str">
        <f t="shared" ref="AC27:AC28" si="24">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5">
      <c r="A28" s="233"/>
      <c r="B28" s="236"/>
      <c r="C28" s="236"/>
      <c r="D28" s="236"/>
      <c r="E28" s="239"/>
      <c r="F28" s="236"/>
      <c r="G28" s="242"/>
      <c r="H28" s="245"/>
      <c r="I28" s="227"/>
      <c r="J28" s="248"/>
      <c r="K28" s="227">
        <f t="shared" ca="1" si="21"/>
        <v>0</v>
      </c>
      <c r="L28" s="245"/>
      <c r="M28" s="227"/>
      <c r="N28" s="230"/>
      <c r="O28" s="125">
        <v>3</v>
      </c>
      <c r="P28" s="138"/>
      <c r="Q28" s="127" t="str">
        <f>IF(OR(R28="Preventivo",R28="Detectivo"),"Probabilidad",IF(R28="Correctivo","Impacto",""))</f>
        <v/>
      </c>
      <c r="R28" s="128"/>
      <c r="S28" s="128"/>
      <c r="T28" s="129" t="str">
        <f t="shared" si="22"/>
        <v/>
      </c>
      <c r="U28" s="128"/>
      <c r="V28" s="128"/>
      <c r="W28" s="128"/>
      <c r="X28" s="130" t="str">
        <f>IFERROR(IF(AND(Q27="Probabilidad",Q28="Probabilidad"),(Z27-(+Z27*T28)),IF(AND(Q27="Impacto",Q28="Probabilidad"),(Z26-(+Z26*T28)),IF(Q28="Impacto",Z27,""))),"")</f>
        <v/>
      </c>
      <c r="Y28" s="131" t="str">
        <f t="shared" si="5"/>
        <v/>
      </c>
      <c r="Z28" s="132" t="str">
        <f t="shared" si="23"/>
        <v/>
      </c>
      <c r="AA28" s="131" t="str">
        <f t="shared" si="7"/>
        <v/>
      </c>
      <c r="AB28" s="140" t="str">
        <f>IFERROR(IF(AND(Q27="Impacto",Q28="Impacto"),(AB27-(+AB27*T28)),IF(AND(Q27="Probabilidad",Q28="Impacto"),(AB26-(+AB26*T28)),IF(Q28="Probabilidad",AB27,""))),"")</f>
        <v/>
      </c>
      <c r="AC28" s="133" t="str">
        <f t="shared" si="24"/>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5">
      <c r="A29" s="233"/>
      <c r="B29" s="236"/>
      <c r="C29" s="236"/>
      <c r="D29" s="236"/>
      <c r="E29" s="239"/>
      <c r="F29" s="236"/>
      <c r="G29" s="242"/>
      <c r="H29" s="245"/>
      <c r="I29" s="227"/>
      <c r="J29" s="248"/>
      <c r="K29" s="227">
        <f t="shared" ca="1" si="21"/>
        <v>0</v>
      </c>
      <c r="L29" s="245"/>
      <c r="M29" s="227"/>
      <c r="N29" s="230"/>
      <c r="O29" s="125">
        <v>4</v>
      </c>
      <c r="P29" s="126"/>
      <c r="Q29" s="127" t="str">
        <f t="shared" ref="Q29:Q31" si="25">IF(OR(R29="Preventivo",R29="Detectivo"),"Probabilidad",IF(R29="Correctivo","Impacto",""))</f>
        <v/>
      </c>
      <c r="R29" s="128"/>
      <c r="S29" s="128"/>
      <c r="T29" s="129" t="str">
        <f t="shared" si="22"/>
        <v/>
      </c>
      <c r="U29" s="128"/>
      <c r="V29" s="128"/>
      <c r="W29" s="128"/>
      <c r="X29" s="130" t="str">
        <f t="shared" ref="X29:X31" si="26">IFERROR(IF(AND(Q28="Probabilidad",Q29="Probabilidad"),(Z28-(+Z28*T29)),IF(AND(Q28="Impacto",Q29="Probabilidad"),(Z27-(+Z27*T29)),IF(Q29="Impacto",Z28,""))),"")</f>
        <v/>
      </c>
      <c r="Y29" s="131" t="str">
        <f t="shared" si="5"/>
        <v/>
      </c>
      <c r="Z29" s="132" t="str">
        <f t="shared" si="23"/>
        <v/>
      </c>
      <c r="AA29" s="131" t="str">
        <f t="shared" si="7"/>
        <v/>
      </c>
      <c r="AB29" s="140" t="str">
        <f t="shared" ref="AB29:AB31" si="27">IFERROR(IF(AND(Q28="Impacto",Q29="Impacto"),(AB28-(+AB28*T29)),IF(AND(Q28="Probabilidad",Q29="Impacto"),(AB27-(+AB27*T29)),IF(Q29="Probabilidad",AB28,""))),"")</f>
        <v/>
      </c>
      <c r="AC29" s="133"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5">
      <c r="A30" s="233"/>
      <c r="B30" s="236"/>
      <c r="C30" s="236"/>
      <c r="D30" s="236"/>
      <c r="E30" s="239"/>
      <c r="F30" s="236"/>
      <c r="G30" s="242"/>
      <c r="H30" s="245"/>
      <c r="I30" s="227"/>
      <c r="J30" s="248"/>
      <c r="K30" s="227">
        <f t="shared" ca="1" si="21"/>
        <v>0</v>
      </c>
      <c r="L30" s="245"/>
      <c r="M30" s="227"/>
      <c r="N30" s="230"/>
      <c r="O30" s="125">
        <v>5</v>
      </c>
      <c r="P30" s="126"/>
      <c r="Q30" s="127" t="str">
        <f t="shared" si="25"/>
        <v/>
      </c>
      <c r="R30" s="128"/>
      <c r="S30" s="128"/>
      <c r="T30" s="129" t="str">
        <f t="shared" si="22"/>
        <v/>
      </c>
      <c r="U30" s="128"/>
      <c r="V30" s="128"/>
      <c r="W30" s="128"/>
      <c r="X30" s="130" t="str">
        <f t="shared" si="26"/>
        <v/>
      </c>
      <c r="Y30" s="131" t="str">
        <f t="shared" si="5"/>
        <v/>
      </c>
      <c r="Z30" s="132" t="str">
        <f t="shared" si="23"/>
        <v/>
      </c>
      <c r="AA30" s="131" t="str">
        <f t="shared" si="7"/>
        <v/>
      </c>
      <c r="AB30" s="140" t="str">
        <f t="shared" si="27"/>
        <v/>
      </c>
      <c r="AC30" s="133" t="str">
        <f t="shared" ref="AC30:AC31" si="28">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5">
      <c r="A31" s="234"/>
      <c r="B31" s="237"/>
      <c r="C31" s="237"/>
      <c r="D31" s="237"/>
      <c r="E31" s="240"/>
      <c r="F31" s="237"/>
      <c r="G31" s="243"/>
      <c r="H31" s="246"/>
      <c r="I31" s="228"/>
      <c r="J31" s="249"/>
      <c r="K31" s="228">
        <f t="shared" ca="1" si="21"/>
        <v>0</v>
      </c>
      <c r="L31" s="246"/>
      <c r="M31" s="228"/>
      <c r="N31" s="231"/>
      <c r="O31" s="125">
        <v>6</v>
      </c>
      <c r="P31" s="126"/>
      <c r="Q31" s="127" t="str">
        <f t="shared" si="25"/>
        <v/>
      </c>
      <c r="R31" s="128"/>
      <c r="S31" s="128"/>
      <c r="T31" s="129" t="str">
        <f t="shared" si="22"/>
        <v/>
      </c>
      <c r="U31" s="128"/>
      <c r="V31" s="128"/>
      <c r="W31" s="128"/>
      <c r="X31" s="130" t="str">
        <f t="shared" si="26"/>
        <v/>
      </c>
      <c r="Y31" s="131" t="str">
        <f t="shared" si="5"/>
        <v/>
      </c>
      <c r="Z31" s="132" t="str">
        <f t="shared" si="23"/>
        <v/>
      </c>
      <c r="AA31" s="131" t="str">
        <f t="shared" si="7"/>
        <v/>
      </c>
      <c r="AB31" s="140" t="str">
        <f t="shared" si="27"/>
        <v/>
      </c>
      <c r="AC31" s="133" t="str">
        <f t="shared" si="28"/>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5">
      <c r="A32" s="232">
        <v>8</v>
      </c>
      <c r="B32" s="235"/>
      <c r="C32" s="235"/>
      <c r="D32" s="235"/>
      <c r="E32" s="238"/>
      <c r="F32" s="235"/>
      <c r="G32" s="241"/>
      <c r="H32" s="244" t="str">
        <f>IF(G32&lt;=0,"",IF(G32&lt;=2,"Muy Baja",IF(G32&lt;=24,"Baja",IF(G32&lt;=500,"Media",IF(G32&lt;=5000,"Alta","Muy Alta")))))</f>
        <v/>
      </c>
      <c r="I32" s="226" t="str">
        <f>IF(H32="","",IF(H32="Muy Baja",0.2,IF(H32="Baja",0.4,IF(H32="Media",0.6,IF(H32="Alta",0.8,IF(H32="Muy Alta",1,))))))</f>
        <v/>
      </c>
      <c r="J32" s="247"/>
      <c r="K32" s="226">
        <f ca="1">IF(NOT(ISERROR(MATCH(J32,'Tabla Impacto'!$B$221:$B$223,0))),'Tabla Impacto'!$F$223&amp;"Por favor no seleccionar los criterios de impacto(Afectación Económica o presupuestal y Pérdida Reputacional)",J32)</f>
        <v>0</v>
      </c>
      <c r="L32" s="244" t="str">
        <f ca="1">IF(OR(K32='Tabla Impacto'!$C$11,K32='Tabla Impacto'!$D$11),"Leve",IF(OR(K32='Tabla Impacto'!$C$12,K32='Tabla Impacto'!$D$12),"Menor",IF(OR(K32='Tabla Impacto'!$C$13,K32='Tabla Impacto'!$D$13),"Moderado",IF(OR(K32='Tabla Impacto'!$C$14,K32='Tabla Impacto'!$D$14),"Mayor",IF(OR(K32='Tabla Impacto'!$C$15,K32='Tabla Impacto'!$D$15),"Catastrófico","")))))</f>
        <v/>
      </c>
      <c r="M32" s="226" t="str">
        <f ca="1">IF(L32="","",IF(L32="Leve",0.2,IF(L32="Menor",0.4,IF(L32="Moderado",0.6,IF(L32="Mayor",0.8,IF(L32="Catastrófico",1,))))))</f>
        <v/>
      </c>
      <c r="N32" s="229" t="str">
        <f ca="1">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
      </c>
      <c r="O32" s="125">
        <v>1</v>
      </c>
      <c r="P32" s="126"/>
      <c r="Q32" s="127" t="str">
        <f>IF(OR(R32="Preventivo",R32="Detectivo"),"Probabilidad",IF(R32="Correctivo","Impacto",""))</f>
        <v/>
      </c>
      <c r="R32" s="128"/>
      <c r="S32" s="128"/>
      <c r="T32" s="129" t="str">
        <f>IF(AND(R32="Preventivo",S32="Automático"),"50%",IF(AND(R32="Preventivo",S32="Manual"),"40%",IF(AND(R32="Detectivo",S32="Automático"),"40%",IF(AND(R32="Detectivo",S32="Manual"),"30%",IF(AND(R32="Correctivo",S32="Automático"),"35%",IF(AND(R32="Correctivo",S32="Manual"),"25%",""))))))</f>
        <v/>
      </c>
      <c r="U32" s="128"/>
      <c r="V32" s="128"/>
      <c r="W32" s="128"/>
      <c r="X32" s="130" t="str">
        <f>IFERROR(IF(Q32="Probabilidad",(I32-(+I32*T32)),IF(Q32="Impacto",I32,"")),"")</f>
        <v/>
      </c>
      <c r="Y32" s="131" t="str">
        <f>IFERROR(IF(X32="","",IF(X32&lt;=0.2,"Muy Baja",IF(X32&lt;=0.4,"Baja",IF(X32&lt;=0.6,"Media",IF(X32&lt;=0.8,"Alta","Muy Alta"))))),"")</f>
        <v/>
      </c>
      <c r="Z32" s="132" t="str">
        <f>+X32</f>
        <v/>
      </c>
      <c r="AA32" s="131" t="str">
        <f>IFERROR(IF(AB32="","",IF(AB32&lt;=0.2,"Leve",IF(AB32&lt;=0.4,"Menor",IF(AB32&lt;=0.6,"Moderado",IF(AB32&lt;=0.8,"Mayor","Catastrófico"))))),"")</f>
        <v/>
      </c>
      <c r="AB32" s="140" t="str">
        <f>IFERROR(IF(Q32="Impacto",(M32-(+M32*T32)),IF(Q32="Probabilidad",M32,"")),"")</f>
        <v/>
      </c>
      <c r="AC32" s="133"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5">
      <c r="A33" s="233"/>
      <c r="B33" s="236"/>
      <c r="C33" s="236"/>
      <c r="D33" s="236"/>
      <c r="E33" s="239"/>
      <c r="F33" s="236"/>
      <c r="G33" s="242"/>
      <c r="H33" s="245"/>
      <c r="I33" s="227"/>
      <c r="J33" s="248"/>
      <c r="K33" s="227">
        <f ca="1">IF(NOT(ISERROR(MATCH(J33,_xlfn.ANCHORARRAY(E44),0))),I46&amp;"Por favor no seleccionar los criterios de impacto",J33)</f>
        <v>0</v>
      </c>
      <c r="L33" s="245"/>
      <c r="M33" s="227"/>
      <c r="N33" s="230"/>
      <c r="O33" s="125">
        <v>2</v>
      </c>
      <c r="P33" s="126"/>
      <c r="Q33" s="127" t="str">
        <f>IF(OR(R33="Preventivo",R33="Detectivo"),"Probabilidad",IF(R33="Correctivo","Impacto",""))</f>
        <v/>
      </c>
      <c r="R33" s="128"/>
      <c r="S33" s="128"/>
      <c r="T33" s="129" t="str">
        <f t="shared" ref="T33:T37" si="29">IF(AND(R33="Preventivo",S33="Automático"),"50%",IF(AND(R33="Preventivo",S33="Manual"),"40%",IF(AND(R33="Detectivo",S33="Automático"),"40%",IF(AND(R33="Detectivo",S33="Manual"),"30%",IF(AND(R33="Correctivo",S33="Automático"),"35%",IF(AND(R33="Correctivo",S33="Manual"),"25%",""))))))</f>
        <v/>
      </c>
      <c r="U33" s="128"/>
      <c r="V33" s="128"/>
      <c r="W33" s="128"/>
      <c r="X33" s="130" t="str">
        <f>IFERROR(IF(AND(Q32="Probabilidad",Q33="Probabilidad"),(Z32-(+Z32*T33)),IF(Q33="Probabilidad",(I32-(+I32*T33)),IF(Q33="Impacto",Z32,""))),"")</f>
        <v/>
      </c>
      <c r="Y33" s="131" t="str">
        <f t="shared" si="5"/>
        <v/>
      </c>
      <c r="Z33" s="132" t="str">
        <f t="shared" ref="Z33:Z37" si="30">+X33</f>
        <v/>
      </c>
      <c r="AA33" s="131" t="str">
        <f t="shared" si="7"/>
        <v/>
      </c>
      <c r="AB33" s="140" t="str">
        <f>IFERROR(IF(AND(Q32="Impacto",Q33="Impacto"),(AB32-(+AB32*T33)),IF(Q33="Impacto",(M32-(+M32*T33)),IF(Q33="Probabilidad",AB32,""))),"")</f>
        <v/>
      </c>
      <c r="AC33" s="133" t="str">
        <f t="shared" ref="AC33:AC34" si="31">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5">
      <c r="A34" s="233"/>
      <c r="B34" s="236"/>
      <c r="C34" s="236"/>
      <c r="D34" s="236"/>
      <c r="E34" s="239"/>
      <c r="F34" s="236"/>
      <c r="G34" s="242"/>
      <c r="H34" s="245"/>
      <c r="I34" s="227"/>
      <c r="J34" s="248"/>
      <c r="K34" s="227">
        <f ca="1">IF(NOT(ISERROR(MATCH(J34,_xlfn.ANCHORARRAY(E45),0))),I47&amp;"Por favor no seleccionar los criterios de impacto",J34)</f>
        <v>0</v>
      </c>
      <c r="L34" s="245"/>
      <c r="M34" s="227"/>
      <c r="N34" s="230"/>
      <c r="O34" s="125">
        <v>3</v>
      </c>
      <c r="P34" s="138"/>
      <c r="Q34" s="127" t="str">
        <f>IF(OR(R34="Preventivo",R34="Detectivo"),"Probabilidad",IF(R34="Correctivo","Impacto",""))</f>
        <v/>
      </c>
      <c r="R34" s="128"/>
      <c r="S34" s="128"/>
      <c r="T34" s="129" t="str">
        <f t="shared" si="29"/>
        <v/>
      </c>
      <c r="U34" s="128"/>
      <c r="V34" s="128"/>
      <c r="W34" s="128"/>
      <c r="X34" s="130" t="str">
        <f>IFERROR(IF(AND(Q33="Probabilidad",Q34="Probabilidad"),(Z33-(+Z33*T34)),IF(AND(Q33="Impacto",Q34="Probabilidad"),(Z32-(+Z32*T34)),IF(Q34="Impacto",Z33,""))),"")</f>
        <v/>
      </c>
      <c r="Y34" s="131" t="str">
        <f t="shared" si="5"/>
        <v/>
      </c>
      <c r="Z34" s="132" t="str">
        <f t="shared" si="30"/>
        <v/>
      </c>
      <c r="AA34" s="131" t="str">
        <f t="shared" si="7"/>
        <v/>
      </c>
      <c r="AB34" s="140" t="str">
        <f>IFERROR(IF(AND(Q33="Impacto",Q34="Impacto"),(AB33-(+AB33*T34)),IF(AND(Q33="Probabilidad",Q34="Impacto"),(AB32-(+AB32*T34)),IF(Q34="Probabilidad",AB33,""))),"")</f>
        <v/>
      </c>
      <c r="AC34" s="133" t="str">
        <f t="shared" si="31"/>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5">
      <c r="A35" s="233"/>
      <c r="B35" s="236"/>
      <c r="C35" s="236"/>
      <c r="D35" s="236"/>
      <c r="E35" s="239"/>
      <c r="F35" s="236"/>
      <c r="G35" s="242"/>
      <c r="H35" s="245"/>
      <c r="I35" s="227"/>
      <c r="J35" s="248"/>
      <c r="K35" s="227">
        <f ca="1">IF(NOT(ISERROR(MATCH(J35,_xlfn.ANCHORARRAY(E46),0))),I48&amp;"Por favor no seleccionar los criterios de impacto",J35)</f>
        <v>0</v>
      </c>
      <c r="L35" s="245"/>
      <c r="M35" s="227"/>
      <c r="N35" s="230"/>
      <c r="O35" s="125">
        <v>4</v>
      </c>
      <c r="P35" s="126"/>
      <c r="Q35" s="127" t="str">
        <f t="shared" ref="Q35:Q37" si="32">IF(OR(R35="Preventivo",R35="Detectivo"),"Probabilidad",IF(R35="Correctivo","Impacto",""))</f>
        <v/>
      </c>
      <c r="R35" s="128"/>
      <c r="S35" s="128"/>
      <c r="T35" s="129" t="str">
        <f t="shared" si="29"/>
        <v/>
      </c>
      <c r="U35" s="128"/>
      <c r="V35" s="128"/>
      <c r="W35" s="128"/>
      <c r="X35" s="130" t="str">
        <f t="shared" ref="X35:X37" si="33">IFERROR(IF(AND(Q34="Probabilidad",Q35="Probabilidad"),(Z34-(+Z34*T35)),IF(AND(Q34="Impacto",Q35="Probabilidad"),(Z33-(+Z33*T35)),IF(Q35="Impacto",Z34,""))),"")</f>
        <v/>
      </c>
      <c r="Y35" s="131" t="str">
        <f t="shared" si="5"/>
        <v/>
      </c>
      <c r="Z35" s="132" t="str">
        <f t="shared" si="30"/>
        <v/>
      </c>
      <c r="AA35" s="131" t="str">
        <f t="shared" si="7"/>
        <v/>
      </c>
      <c r="AB35" s="140" t="str">
        <f t="shared" ref="AB35:AB37" si="34">IFERROR(IF(AND(Q34="Impacto",Q35="Impacto"),(AB34-(+AB34*T35)),IF(AND(Q34="Probabilidad",Q35="Impacto"),(AB33-(+AB33*T35)),IF(Q35="Probabilidad",AB34,""))),"")</f>
        <v/>
      </c>
      <c r="AC35" s="133"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5">
      <c r="A36" s="233"/>
      <c r="B36" s="236"/>
      <c r="C36" s="236"/>
      <c r="D36" s="236"/>
      <c r="E36" s="239"/>
      <c r="F36" s="236"/>
      <c r="G36" s="242"/>
      <c r="H36" s="245"/>
      <c r="I36" s="227"/>
      <c r="J36" s="248"/>
      <c r="K36" s="227">
        <f ca="1">IF(NOT(ISERROR(MATCH(J36,_xlfn.ANCHORARRAY(E47),0))),I49&amp;"Por favor no seleccionar los criterios de impacto",J36)</f>
        <v>0</v>
      </c>
      <c r="L36" s="245"/>
      <c r="M36" s="227"/>
      <c r="N36" s="230"/>
      <c r="O36" s="125">
        <v>5</v>
      </c>
      <c r="P36" s="126"/>
      <c r="Q36" s="127" t="str">
        <f t="shared" si="32"/>
        <v/>
      </c>
      <c r="R36" s="128"/>
      <c r="S36" s="128"/>
      <c r="T36" s="129" t="str">
        <f t="shared" si="29"/>
        <v/>
      </c>
      <c r="U36" s="128"/>
      <c r="V36" s="128"/>
      <c r="W36" s="128"/>
      <c r="X36" s="130" t="str">
        <f t="shared" si="33"/>
        <v/>
      </c>
      <c r="Y36" s="131" t="str">
        <f t="shared" si="5"/>
        <v/>
      </c>
      <c r="Z36" s="132" t="str">
        <f t="shared" si="30"/>
        <v/>
      </c>
      <c r="AA36" s="131" t="str">
        <f t="shared" si="7"/>
        <v/>
      </c>
      <c r="AB36" s="140" t="str">
        <f t="shared" si="34"/>
        <v/>
      </c>
      <c r="AC36" s="133" t="str">
        <f t="shared" ref="AC36:AC37" si="35">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5">
      <c r="A37" s="234"/>
      <c r="B37" s="237"/>
      <c r="C37" s="237"/>
      <c r="D37" s="237"/>
      <c r="E37" s="240"/>
      <c r="F37" s="237"/>
      <c r="G37" s="243"/>
      <c r="H37" s="246"/>
      <c r="I37" s="228"/>
      <c r="J37" s="249"/>
      <c r="K37" s="228">
        <f ca="1">IF(NOT(ISERROR(MATCH(J37,_xlfn.ANCHORARRAY(E48),0))),I50&amp;"Por favor no seleccionar los criterios de impacto",J37)</f>
        <v>0</v>
      </c>
      <c r="L37" s="246"/>
      <c r="M37" s="228"/>
      <c r="N37" s="231"/>
      <c r="O37" s="125">
        <v>6</v>
      </c>
      <c r="P37" s="126"/>
      <c r="Q37" s="127" t="str">
        <f t="shared" si="32"/>
        <v/>
      </c>
      <c r="R37" s="128"/>
      <c r="S37" s="128"/>
      <c r="T37" s="129" t="str">
        <f t="shared" si="29"/>
        <v/>
      </c>
      <c r="U37" s="128"/>
      <c r="V37" s="128"/>
      <c r="W37" s="128"/>
      <c r="X37" s="130" t="str">
        <f t="shared" si="33"/>
        <v/>
      </c>
      <c r="Y37" s="131" t="str">
        <f t="shared" si="5"/>
        <v/>
      </c>
      <c r="Z37" s="132" t="str">
        <f t="shared" si="30"/>
        <v/>
      </c>
      <c r="AA37" s="131" t="str">
        <f t="shared" si="7"/>
        <v/>
      </c>
      <c r="AB37" s="140" t="str">
        <f t="shared" si="34"/>
        <v/>
      </c>
      <c r="AC37" s="133" t="str">
        <f t="shared" si="35"/>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5">
      <c r="A38" s="232">
        <v>9</v>
      </c>
      <c r="B38" s="235"/>
      <c r="C38" s="235"/>
      <c r="D38" s="235"/>
      <c r="E38" s="238"/>
      <c r="F38" s="235"/>
      <c r="G38" s="241"/>
      <c r="H38" s="244" t="str">
        <f>IF(G38&lt;=0,"",IF(G38&lt;=2,"Muy Baja",IF(G38&lt;=24,"Baja",IF(G38&lt;=500,"Media",IF(G38&lt;=5000,"Alta","Muy Alta")))))</f>
        <v/>
      </c>
      <c r="I38" s="226" t="str">
        <f>IF(H38="","",IF(H38="Muy Baja",0.2,IF(H38="Baja",0.4,IF(H38="Media",0.6,IF(H38="Alta",0.8,IF(H38="Muy Alta",1,))))))</f>
        <v/>
      </c>
      <c r="J38" s="247"/>
      <c r="K38" s="226">
        <f ca="1">IF(NOT(ISERROR(MATCH(J38,'Tabla Impacto'!$B$221:$B$223,0))),'Tabla Impacto'!$F$223&amp;"Por favor no seleccionar los criterios de impacto(Afectación Económica o presupuestal y Pérdida Reputacional)",J38)</f>
        <v>0</v>
      </c>
      <c r="L38" s="244" t="str">
        <f ca="1">IF(OR(K38='Tabla Impacto'!$C$11,K38='Tabla Impacto'!$D$11),"Leve",IF(OR(K38='Tabla Impacto'!$C$12,K38='Tabla Impacto'!$D$12),"Menor",IF(OR(K38='Tabla Impacto'!$C$13,K38='Tabla Impacto'!$D$13),"Moderado",IF(OR(K38='Tabla Impacto'!$C$14,K38='Tabla Impacto'!$D$14),"Mayor",IF(OR(K38='Tabla Impacto'!$C$15,K38='Tabla Impacto'!$D$15),"Catastrófico","")))))</f>
        <v/>
      </c>
      <c r="M38" s="226" t="str">
        <f ca="1">IF(L38="","",IF(L38="Leve",0.2,IF(L38="Menor",0.4,IF(L38="Moderado",0.6,IF(L38="Mayor",0.8,IF(L38="Catastrófico",1,))))))</f>
        <v/>
      </c>
      <c r="N38" s="229" t="str">
        <f ca="1">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
      </c>
      <c r="O38" s="125">
        <v>1</v>
      </c>
      <c r="P38" s="126"/>
      <c r="Q38" s="127" t="str">
        <f>IF(OR(R38="Preventivo",R38="Detectivo"),"Probabilidad",IF(R38="Correctivo","Impacto",""))</f>
        <v/>
      </c>
      <c r="R38" s="128"/>
      <c r="S38" s="128"/>
      <c r="T38" s="129" t="str">
        <f>IF(AND(R38="Preventivo",S38="Automático"),"50%",IF(AND(R38="Preventivo",S38="Manual"),"40%",IF(AND(R38="Detectivo",S38="Automático"),"40%",IF(AND(R38="Detectivo",S38="Manual"),"30%",IF(AND(R38="Correctivo",S38="Automático"),"35%",IF(AND(R38="Correctivo",S38="Manual"),"25%",""))))))</f>
        <v/>
      </c>
      <c r="U38" s="128"/>
      <c r="V38" s="128"/>
      <c r="W38" s="128"/>
      <c r="X38" s="130" t="str">
        <f>IFERROR(IF(Q38="Probabilidad",(I38-(+I38*T38)),IF(Q38="Impacto",I38,"")),"")</f>
        <v/>
      </c>
      <c r="Y38" s="131" t="str">
        <f>IFERROR(IF(X38="","",IF(X38&lt;=0.2,"Muy Baja",IF(X38&lt;=0.4,"Baja",IF(X38&lt;=0.6,"Media",IF(X38&lt;=0.8,"Alta","Muy Alta"))))),"")</f>
        <v/>
      </c>
      <c r="Z38" s="132" t="str">
        <f>+X38</f>
        <v/>
      </c>
      <c r="AA38" s="131" t="str">
        <f>IFERROR(IF(AB38="","",IF(AB38&lt;=0.2,"Leve",IF(AB38&lt;=0.4,"Menor",IF(AB38&lt;=0.6,"Moderado",IF(AB38&lt;=0.8,"Mayor","Catastrófico"))))),"")</f>
        <v/>
      </c>
      <c r="AB38" s="140" t="str">
        <f>IFERROR(IF(Q38="Impacto",(M38-(+M38*T38)),IF(Q38="Probabilidad",M38,"")),"")</f>
        <v/>
      </c>
      <c r="AC38" s="133"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5">
      <c r="A39" s="233"/>
      <c r="B39" s="236"/>
      <c r="C39" s="236"/>
      <c r="D39" s="236"/>
      <c r="E39" s="239"/>
      <c r="F39" s="236"/>
      <c r="G39" s="242"/>
      <c r="H39" s="245"/>
      <c r="I39" s="227"/>
      <c r="J39" s="248"/>
      <c r="K39" s="227">
        <f ca="1">IF(NOT(ISERROR(MATCH(J39,_xlfn.ANCHORARRAY(E50),0))),I52&amp;"Por favor no seleccionar los criterios de impacto",J39)</f>
        <v>0</v>
      </c>
      <c r="L39" s="245"/>
      <c r="M39" s="227"/>
      <c r="N39" s="230"/>
      <c r="O39" s="125">
        <v>2</v>
      </c>
      <c r="P39" s="126"/>
      <c r="Q39" s="127" t="str">
        <f>IF(OR(R39="Preventivo",R39="Detectivo"),"Probabilidad",IF(R39="Correctivo","Impacto",""))</f>
        <v/>
      </c>
      <c r="R39" s="128"/>
      <c r="S39" s="128"/>
      <c r="T39" s="129" t="str">
        <f t="shared" ref="T39:T43" si="36">IF(AND(R39="Preventivo",S39="Automático"),"50%",IF(AND(R39="Preventivo",S39="Manual"),"40%",IF(AND(R39="Detectivo",S39="Automático"),"40%",IF(AND(R39="Detectivo",S39="Manual"),"30%",IF(AND(R39="Correctivo",S39="Automático"),"35%",IF(AND(R39="Correctivo",S39="Manual"),"25%",""))))))</f>
        <v/>
      </c>
      <c r="U39" s="128"/>
      <c r="V39" s="128"/>
      <c r="W39" s="128"/>
      <c r="X39" s="130" t="str">
        <f>IFERROR(IF(AND(Q38="Probabilidad",Q39="Probabilidad"),(Z38-(+Z38*T39)),IF(Q39="Probabilidad",(I38-(+I38*T39)),IF(Q39="Impacto",Z38,""))),"")</f>
        <v/>
      </c>
      <c r="Y39" s="131" t="str">
        <f t="shared" si="5"/>
        <v/>
      </c>
      <c r="Z39" s="132" t="str">
        <f t="shared" ref="Z39:Z43" si="37">+X39</f>
        <v/>
      </c>
      <c r="AA39" s="131" t="str">
        <f t="shared" si="7"/>
        <v/>
      </c>
      <c r="AB39" s="140" t="str">
        <f>IFERROR(IF(AND(Q38="Impacto",Q39="Impacto"),(AB38-(+AB38*T39)),IF(Q39="Impacto",(M38-(+M38*T39)),IF(Q39="Probabilidad",AB38,""))),"")</f>
        <v/>
      </c>
      <c r="AC39" s="133" t="str">
        <f t="shared" ref="AC39:AC40" si="38">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5">
      <c r="A40" s="233"/>
      <c r="B40" s="236"/>
      <c r="C40" s="236"/>
      <c r="D40" s="236"/>
      <c r="E40" s="239"/>
      <c r="F40" s="236"/>
      <c r="G40" s="242"/>
      <c r="H40" s="245"/>
      <c r="I40" s="227"/>
      <c r="J40" s="248"/>
      <c r="K40" s="227">
        <f ca="1">IF(NOT(ISERROR(MATCH(J40,_xlfn.ANCHORARRAY(E51),0))),I53&amp;"Por favor no seleccionar los criterios de impacto",J40)</f>
        <v>0</v>
      </c>
      <c r="L40" s="245"/>
      <c r="M40" s="227"/>
      <c r="N40" s="230"/>
      <c r="O40" s="125">
        <v>3</v>
      </c>
      <c r="P40" s="138"/>
      <c r="Q40" s="127" t="str">
        <f>IF(OR(R40="Preventivo",R40="Detectivo"),"Probabilidad",IF(R40="Correctivo","Impacto",""))</f>
        <v/>
      </c>
      <c r="R40" s="128"/>
      <c r="S40" s="128"/>
      <c r="T40" s="129" t="str">
        <f t="shared" si="36"/>
        <v/>
      </c>
      <c r="U40" s="128"/>
      <c r="V40" s="128"/>
      <c r="W40" s="128"/>
      <c r="X40" s="130" t="str">
        <f>IFERROR(IF(AND(Q39="Probabilidad",Q40="Probabilidad"),(Z39-(+Z39*T40)),IF(AND(Q39="Impacto",Q40="Probabilidad"),(Z38-(+Z38*T40)),IF(Q40="Impacto",Z39,""))),"")</f>
        <v/>
      </c>
      <c r="Y40" s="131" t="str">
        <f t="shared" si="5"/>
        <v/>
      </c>
      <c r="Z40" s="132" t="str">
        <f t="shared" si="37"/>
        <v/>
      </c>
      <c r="AA40" s="131" t="str">
        <f t="shared" si="7"/>
        <v/>
      </c>
      <c r="AB40" s="140" t="str">
        <f>IFERROR(IF(AND(Q39="Impacto",Q40="Impacto"),(AB39-(+AB39*T40)),IF(AND(Q39="Probabilidad",Q40="Impacto"),(AB38-(+AB38*T40)),IF(Q40="Probabilidad",AB39,""))),"")</f>
        <v/>
      </c>
      <c r="AC40" s="133" t="str">
        <f t="shared" si="38"/>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5">
      <c r="A41" s="233"/>
      <c r="B41" s="236"/>
      <c r="C41" s="236"/>
      <c r="D41" s="236"/>
      <c r="E41" s="239"/>
      <c r="F41" s="236"/>
      <c r="G41" s="242"/>
      <c r="H41" s="245"/>
      <c r="I41" s="227"/>
      <c r="J41" s="248"/>
      <c r="K41" s="227">
        <f ca="1">IF(NOT(ISERROR(MATCH(J41,_xlfn.ANCHORARRAY(E52),0))),I54&amp;"Por favor no seleccionar los criterios de impacto",J41)</f>
        <v>0</v>
      </c>
      <c r="L41" s="245"/>
      <c r="M41" s="227"/>
      <c r="N41" s="230"/>
      <c r="O41" s="125">
        <v>4</v>
      </c>
      <c r="P41" s="126"/>
      <c r="Q41" s="127" t="str">
        <f t="shared" ref="Q41:Q43" si="39">IF(OR(R41="Preventivo",R41="Detectivo"),"Probabilidad",IF(R41="Correctivo","Impacto",""))</f>
        <v/>
      </c>
      <c r="R41" s="128"/>
      <c r="S41" s="128"/>
      <c r="T41" s="129" t="str">
        <f t="shared" si="36"/>
        <v/>
      </c>
      <c r="U41" s="128"/>
      <c r="V41" s="128"/>
      <c r="W41" s="128"/>
      <c r="X41" s="130" t="str">
        <f t="shared" ref="X41:X43" si="40">IFERROR(IF(AND(Q40="Probabilidad",Q41="Probabilidad"),(Z40-(+Z40*T41)),IF(AND(Q40="Impacto",Q41="Probabilidad"),(Z39-(+Z39*T41)),IF(Q41="Impacto",Z40,""))),"")</f>
        <v/>
      </c>
      <c r="Y41" s="131" t="str">
        <f t="shared" si="5"/>
        <v/>
      </c>
      <c r="Z41" s="132" t="str">
        <f t="shared" si="37"/>
        <v/>
      </c>
      <c r="AA41" s="131" t="str">
        <f t="shared" si="7"/>
        <v/>
      </c>
      <c r="AB41" s="140" t="str">
        <f t="shared" ref="AB41:AB43" si="41">IFERROR(IF(AND(Q40="Impacto",Q41="Impacto"),(AB40-(+AB40*T41)),IF(AND(Q40="Probabilidad",Q41="Impacto"),(AB39-(+AB39*T41)),IF(Q41="Probabilidad",AB40,""))),"")</f>
        <v/>
      </c>
      <c r="AC41" s="133"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5">
      <c r="A42" s="233"/>
      <c r="B42" s="236"/>
      <c r="C42" s="236"/>
      <c r="D42" s="236"/>
      <c r="E42" s="239"/>
      <c r="F42" s="236"/>
      <c r="G42" s="242"/>
      <c r="H42" s="245"/>
      <c r="I42" s="227"/>
      <c r="J42" s="248"/>
      <c r="K42" s="227">
        <f ca="1">IF(NOT(ISERROR(MATCH(J42,_xlfn.ANCHORARRAY(E53),0))),I55&amp;"Por favor no seleccionar los criterios de impacto",J42)</f>
        <v>0</v>
      </c>
      <c r="L42" s="245"/>
      <c r="M42" s="227"/>
      <c r="N42" s="230"/>
      <c r="O42" s="125">
        <v>5</v>
      </c>
      <c r="P42" s="126"/>
      <c r="Q42" s="127" t="str">
        <f t="shared" si="39"/>
        <v/>
      </c>
      <c r="R42" s="128"/>
      <c r="S42" s="128"/>
      <c r="T42" s="129" t="str">
        <f t="shared" si="36"/>
        <v/>
      </c>
      <c r="U42" s="128"/>
      <c r="V42" s="128"/>
      <c r="W42" s="128"/>
      <c r="X42" s="130" t="str">
        <f t="shared" si="40"/>
        <v/>
      </c>
      <c r="Y42" s="131" t="str">
        <f t="shared" si="5"/>
        <v/>
      </c>
      <c r="Z42" s="132" t="str">
        <f t="shared" si="37"/>
        <v/>
      </c>
      <c r="AA42" s="131" t="str">
        <f t="shared" si="7"/>
        <v/>
      </c>
      <c r="AB42" s="140" t="str">
        <f t="shared" si="41"/>
        <v/>
      </c>
      <c r="AC42" s="133" t="str">
        <f t="shared" ref="AC42:AC43" si="42">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5">
      <c r="A43" s="234"/>
      <c r="B43" s="237"/>
      <c r="C43" s="237"/>
      <c r="D43" s="237"/>
      <c r="E43" s="240"/>
      <c r="F43" s="237"/>
      <c r="G43" s="243"/>
      <c r="H43" s="246"/>
      <c r="I43" s="228"/>
      <c r="J43" s="249"/>
      <c r="K43" s="228">
        <f ca="1">IF(NOT(ISERROR(MATCH(J43,_xlfn.ANCHORARRAY(E54),0))),I56&amp;"Por favor no seleccionar los criterios de impacto",J43)</f>
        <v>0</v>
      </c>
      <c r="L43" s="246"/>
      <c r="M43" s="228"/>
      <c r="N43" s="231"/>
      <c r="O43" s="125">
        <v>6</v>
      </c>
      <c r="P43" s="126"/>
      <c r="Q43" s="127" t="str">
        <f t="shared" si="39"/>
        <v/>
      </c>
      <c r="R43" s="128"/>
      <c r="S43" s="128"/>
      <c r="T43" s="129" t="str">
        <f t="shared" si="36"/>
        <v/>
      </c>
      <c r="U43" s="128"/>
      <c r="V43" s="128"/>
      <c r="W43" s="128"/>
      <c r="X43" s="130" t="str">
        <f t="shared" si="40"/>
        <v/>
      </c>
      <c r="Y43" s="131" t="str">
        <f t="shared" si="5"/>
        <v/>
      </c>
      <c r="Z43" s="132" t="str">
        <f t="shared" si="37"/>
        <v/>
      </c>
      <c r="AA43" s="131" t="str">
        <f t="shared" si="7"/>
        <v/>
      </c>
      <c r="AB43" s="140" t="str">
        <f t="shared" si="41"/>
        <v/>
      </c>
      <c r="AC43" s="133" t="str">
        <f t="shared" si="42"/>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5">
      <c r="A44" s="232">
        <v>10</v>
      </c>
      <c r="B44" s="235"/>
      <c r="C44" s="235"/>
      <c r="D44" s="235"/>
      <c r="E44" s="238"/>
      <c r="F44" s="235"/>
      <c r="G44" s="241"/>
      <c r="H44" s="244" t="str">
        <f>IF(G44&lt;=0,"",IF(G44&lt;=2,"Muy Baja",IF(G44&lt;=24,"Baja",IF(G44&lt;=500,"Media",IF(G44&lt;=5000,"Alta","Muy Alta")))))</f>
        <v/>
      </c>
      <c r="I44" s="226" t="str">
        <f>IF(H44="","",IF(H44="Muy Baja",0.2,IF(H44="Baja",0.4,IF(H44="Media",0.6,IF(H44="Alta",0.8,IF(H44="Muy Alta",1,))))))</f>
        <v/>
      </c>
      <c r="J44" s="247"/>
      <c r="K44" s="226">
        <f ca="1">IF(NOT(ISERROR(MATCH(J44,'Tabla Impacto'!$B$221:$B$223,0))),'Tabla Impacto'!$F$223&amp;"Por favor no seleccionar los criterios de impacto(Afectación Económica o presupuestal y Pérdida Reputacional)",J44)</f>
        <v>0</v>
      </c>
      <c r="L44" s="244" t="str">
        <f ca="1">IF(OR(K44='Tabla Impacto'!$C$11,K44='Tabla Impacto'!$D$11),"Leve",IF(OR(K44='Tabla Impacto'!$C$12,K44='Tabla Impacto'!$D$12),"Menor",IF(OR(K44='Tabla Impacto'!$C$13,K44='Tabla Impacto'!$D$13),"Moderado",IF(OR(K44='Tabla Impacto'!$C$14,K44='Tabla Impacto'!$D$14),"Mayor",IF(OR(K44='Tabla Impacto'!$C$15,K44='Tabla Impacto'!$D$15),"Catastrófico","")))))</f>
        <v/>
      </c>
      <c r="M44" s="226" t="str">
        <f ca="1">IF(L44="","",IF(L44="Leve",0.2,IF(L44="Menor",0.4,IF(L44="Moderado",0.6,IF(L44="Mayor",0.8,IF(L44="Catastrófico",1,))))))</f>
        <v/>
      </c>
      <c r="N44" s="229" t="str">
        <f ca="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125">
        <v>1</v>
      </c>
      <c r="P44" s="126"/>
      <c r="Q44" s="127" t="str">
        <f>IF(OR(R44="Preventivo",R44="Detectivo"),"Probabilidad",IF(R44="Correctivo","Impacto",""))</f>
        <v/>
      </c>
      <c r="R44" s="128"/>
      <c r="S44" s="128"/>
      <c r="T44" s="129" t="str">
        <f>IF(AND(R44="Preventivo",S44="Automático"),"50%",IF(AND(R44="Preventivo",S44="Manual"),"40%",IF(AND(R44="Detectivo",S44="Automático"),"40%",IF(AND(R44="Detectivo",S44="Manual"),"30%",IF(AND(R44="Correctivo",S44="Automático"),"35%",IF(AND(R44="Correctivo",S44="Manual"),"25%",""))))))</f>
        <v/>
      </c>
      <c r="U44" s="128"/>
      <c r="V44" s="128"/>
      <c r="W44" s="128"/>
      <c r="X44" s="130" t="str">
        <f>IFERROR(IF(Q44="Probabilidad",(I44-(+I44*T44)),IF(Q44="Impacto",I44,"")),"")</f>
        <v/>
      </c>
      <c r="Y44" s="131" t="str">
        <f>IFERROR(IF(X44="","",IF(X44&lt;=0.2,"Muy Baja",IF(X44&lt;=0.4,"Baja",IF(X44&lt;=0.6,"Media",IF(X44&lt;=0.8,"Alta","Muy Alta"))))),"")</f>
        <v/>
      </c>
      <c r="Z44" s="132" t="str">
        <f>+X44</f>
        <v/>
      </c>
      <c r="AA44" s="131" t="str">
        <f>IFERROR(IF(AB44="","",IF(AB44&lt;=0.2,"Leve",IF(AB44&lt;=0.4,"Menor",IF(AB44&lt;=0.6,"Moderado",IF(AB44&lt;=0.8,"Mayor","Catastrófico"))))),"")</f>
        <v/>
      </c>
      <c r="AB44" s="140" t="str">
        <f>IFERROR(IF(Q44="Impacto",(M44-(+M44*T44)),IF(Q44="Probabilidad",M44,"")),"")</f>
        <v/>
      </c>
      <c r="AC44" s="133"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5">
      <c r="A45" s="233"/>
      <c r="B45" s="236"/>
      <c r="C45" s="236"/>
      <c r="D45" s="236"/>
      <c r="E45" s="239"/>
      <c r="F45" s="236"/>
      <c r="G45" s="242"/>
      <c r="H45" s="245"/>
      <c r="I45" s="227"/>
      <c r="J45" s="248"/>
      <c r="K45" s="227">
        <f ca="1">IF(NOT(ISERROR(MATCH(J45,_xlfn.ANCHORARRAY(E56),0))),I58&amp;"Por favor no seleccionar los criterios de impacto",J45)</f>
        <v>0</v>
      </c>
      <c r="L45" s="245"/>
      <c r="M45" s="227"/>
      <c r="N45" s="230"/>
      <c r="O45" s="125">
        <v>2</v>
      </c>
      <c r="P45" s="126"/>
      <c r="Q45" s="127" t="str">
        <f>IF(OR(R45="Preventivo",R45="Detectivo"),"Probabilidad",IF(R45="Correctivo","Impacto",""))</f>
        <v/>
      </c>
      <c r="R45" s="128"/>
      <c r="S45" s="128"/>
      <c r="T45" s="129" t="str">
        <f t="shared" ref="T45:T49" si="43">IF(AND(R45="Preventivo",S45="Automático"),"50%",IF(AND(R45="Preventivo",S45="Manual"),"40%",IF(AND(R45="Detectivo",S45="Automático"),"40%",IF(AND(R45="Detectivo",S45="Manual"),"30%",IF(AND(R45="Correctivo",S45="Automático"),"35%",IF(AND(R45="Correctivo",S45="Manual"),"25%",""))))))</f>
        <v/>
      </c>
      <c r="U45" s="128"/>
      <c r="V45" s="128"/>
      <c r="W45" s="128"/>
      <c r="X45" s="130" t="str">
        <f>IFERROR(IF(AND(Q44="Probabilidad",Q45="Probabilidad"),(Z44-(+Z44*T45)),IF(Q45="Probabilidad",(I44-(+I44*T45)),IF(Q45="Impacto",Z44,""))),"")</f>
        <v/>
      </c>
      <c r="Y45" s="131" t="str">
        <f t="shared" si="5"/>
        <v/>
      </c>
      <c r="Z45" s="132" t="str">
        <f t="shared" ref="Z45:Z49" si="44">+X45</f>
        <v/>
      </c>
      <c r="AA45" s="131" t="str">
        <f t="shared" si="7"/>
        <v/>
      </c>
      <c r="AB45" s="140" t="str">
        <f>IFERROR(IF(AND(Q44="Impacto",Q45="Impacto"),(AB44-(+AB44*T45)),IF(Q45="Impacto",(M44-(+M44*T45)),IF(Q45="Probabilidad",AB44,""))),"")</f>
        <v/>
      </c>
      <c r="AC45" s="133" t="str">
        <f t="shared" ref="AC45:AC46" si="45">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row>
    <row r="46" spans="1:68" ht="35.25" customHeight="1" x14ac:dyDescent="0.35">
      <c r="A46" s="233"/>
      <c r="B46" s="236"/>
      <c r="C46" s="236"/>
      <c r="D46" s="236"/>
      <c r="E46" s="239"/>
      <c r="F46" s="236"/>
      <c r="G46" s="242"/>
      <c r="H46" s="245"/>
      <c r="I46" s="227"/>
      <c r="J46" s="248"/>
      <c r="K46" s="227">
        <f ca="1">IF(NOT(ISERROR(MATCH(J46,_xlfn.ANCHORARRAY(E57),0))),I59&amp;"Por favor no seleccionar los criterios de impacto",J46)</f>
        <v>0</v>
      </c>
      <c r="L46" s="245"/>
      <c r="M46" s="227"/>
      <c r="N46" s="230"/>
      <c r="O46" s="125">
        <v>3</v>
      </c>
      <c r="P46" s="138"/>
      <c r="Q46" s="127" t="str">
        <f>IF(OR(R46="Preventivo",R46="Detectivo"),"Probabilidad",IF(R46="Correctivo","Impacto",""))</f>
        <v/>
      </c>
      <c r="R46" s="128"/>
      <c r="S46" s="128"/>
      <c r="T46" s="129" t="str">
        <f t="shared" si="43"/>
        <v/>
      </c>
      <c r="U46" s="128"/>
      <c r="V46" s="128"/>
      <c r="W46" s="128"/>
      <c r="X46" s="130" t="str">
        <f>IFERROR(IF(AND(Q45="Probabilidad",Q46="Probabilidad"),(Z45-(+Z45*T46)),IF(AND(Q45="Impacto",Q46="Probabilidad"),(Z44-(+Z44*T46)),IF(Q46="Impacto",Z45,""))),"")</f>
        <v/>
      </c>
      <c r="Y46" s="131" t="str">
        <f t="shared" si="5"/>
        <v/>
      </c>
      <c r="Z46" s="132" t="str">
        <f t="shared" si="44"/>
        <v/>
      </c>
      <c r="AA46" s="131" t="str">
        <f t="shared" si="7"/>
        <v/>
      </c>
      <c r="AB46" s="140" t="str">
        <f>IFERROR(IF(AND(Q45="Impacto",Q46="Impacto"),(AB45-(+AB45*T46)),IF(AND(Q45="Probabilidad",Q46="Impacto"),(AB44-(+AB44*T46)),IF(Q46="Probabilidad",AB45,""))),"")</f>
        <v/>
      </c>
      <c r="AC46" s="133" t="str">
        <f t="shared" si="45"/>
        <v/>
      </c>
      <c r="AD46" s="134"/>
      <c r="AE46" s="135"/>
      <c r="AF46" s="136"/>
      <c r="AG46" s="137"/>
      <c r="AH46" s="137"/>
      <c r="AI46" s="135"/>
      <c r="AJ46" s="136"/>
    </row>
    <row r="47" spans="1:68" ht="35.25" customHeight="1" x14ac:dyDescent="0.35">
      <c r="A47" s="233"/>
      <c r="B47" s="236"/>
      <c r="C47" s="236"/>
      <c r="D47" s="236"/>
      <c r="E47" s="239"/>
      <c r="F47" s="236"/>
      <c r="G47" s="242"/>
      <c r="H47" s="245"/>
      <c r="I47" s="227"/>
      <c r="J47" s="248"/>
      <c r="K47" s="227">
        <f ca="1">IF(NOT(ISERROR(MATCH(J47,_xlfn.ANCHORARRAY(E58),0))),I60&amp;"Por favor no seleccionar los criterios de impacto",J47)</f>
        <v>0</v>
      </c>
      <c r="L47" s="245"/>
      <c r="M47" s="227"/>
      <c r="N47" s="230"/>
      <c r="O47" s="125">
        <v>4</v>
      </c>
      <c r="P47" s="126"/>
      <c r="Q47" s="127" t="str">
        <f t="shared" ref="Q47:Q49" si="46">IF(OR(R47="Preventivo",R47="Detectivo"),"Probabilidad",IF(R47="Correctivo","Impacto",""))</f>
        <v/>
      </c>
      <c r="R47" s="128"/>
      <c r="S47" s="128"/>
      <c r="T47" s="129" t="str">
        <f t="shared" si="43"/>
        <v/>
      </c>
      <c r="U47" s="128"/>
      <c r="V47" s="128"/>
      <c r="W47" s="128"/>
      <c r="X47" s="130" t="str">
        <f t="shared" ref="X47:X49" si="47">IFERROR(IF(AND(Q46="Probabilidad",Q47="Probabilidad"),(Z46-(+Z46*T47)),IF(AND(Q46="Impacto",Q47="Probabilidad"),(Z45-(+Z45*T47)),IF(Q47="Impacto",Z46,""))),"")</f>
        <v/>
      </c>
      <c r="Y47" s="131" t="str">
        <f t="shared" si="5"/>
        <v/>
      </c>
      <c r="Z47" s="132" t="str">
        <f t="shared" si="44"/>
        <v/>
      </c>
      <c r="AA47" s="131" t="str">
        <f t="shared" si="7"/>
        <v/>
      </c>
      <c r="AB47" s="140" t="str">
        <f t="shared" ref="AB47:AB49" si="48">IFERROR(IF(AND(Q46="Impacto",Q47="Impacto"),(AB46-(+AB46*T47)),IF(AND(Q46="Probabilidad",Q47="Impacto"),(AB45-(+AB45*T47)),IF(Q47="Probabilidad",AB46,""))),"")</f>
        <v/>
      </c>
      <c r="AC47" s="13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row>
    <row r="48" spans="1:68" ht="35.25" customHeight="1" x14ac:dyDescent="0.35">
      <c r="A48" s="233"/>
      <c r="B48" s="236"/>
      <c r="C48" s="236"/>
      <c r="D48" s="236"/>
      <c r="E48" s="239"/>
      <c r="F48" s="236"/>
      <c r="G48" s="242"/>
      <c r="H48" s="245"/>
      <c r="I48" s="227"/>
      <c r="J48" s="248"/>
      <c r="K48" s="227">
        <f ca="1">IF(NOT(ISERROR(MATCH(J48,_xlfn.ANCHORARRAY(E59),0))),I61&amp;"Por favor no seleccionar los criterios de impacto",J48)</f>
        <v>0</v>
      </c>
      <c r="L48" s="245"/>
      <c r="M48" s="227"/>
      <c r="N48" s="230"/>
      <c r="O48" s="125">
        <v>5</v>
      </c>
      <c r="P48" s="126"/>
      <c r="Q48" s="127" t="str">
        <f t="shared" si="46"/>
        <v/>
      </c>
      <c r="R48" s="128"/>
      <c r="S48" s="128"/>
      <c r="T48" s="129" t="str">
        <f t="shared" si="43"/>
        <v/>
      </c>
      <c r="U48" s="128"/>
      <c r="V48" s="128"/>
      <c r="W48" s="128"/>
      <c r="X48" s="130" t="str">
        <f t="shared" si="47"/>
        <v/>
      </c>
      <c r="Y48" s="131" t="str">
        <f t="shared" si="5"/>
        <v/>
      </c>
      <c r="Z48" s="132" t="str">
        <f t="shared" si="44"/>
        <v/>
      </c>
      <c r="AA48" s="131" t="str">
        <f t="shared" si="7"/>
        <v/>
      </c>
      <c r="AB48" s="140" t="str">
        <f t="shared" si="48"/>
        <v/>
      </c>
      <c r="AC48" s="133" t="str">
        <f t="shared" ref="AC48:AC49" si="49">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4"/>
      <c r="AE48" s="135"/>
      <c r="AF48" s="136"/>
      <c r="AG48" s="137"/>
      <c r="AH48" s="137"/>
      <c r="AI48" s="135"/>
      <c r="AJ48" s="136"/>
    </row>
    <row r="49" spans="1:36" ht="35.25" customHeight="1" x14ac:dyDescent="0.35">
      <c r="A49" s="234"/>
      <c r="B49" s="237"/>
      <c r="C49" s="237"/>
      <c r="D49" s="237"/>
      <c r="E49" s="240"/>
      <c r="F49" s="237"/>
      <c r="G49" s="243"/>
      <c r="H49" s="246"/>
      <c r="I49" s="228"/>
      <c r="J49" s="249"/>
      <c r="K49" s="228">
        <f ca="1">IF(NOT(ISERROR(MATCH(J49,_xlfn.ANCHORARRAY(E60),0))),I62&amp;"Por favor no seleccionar los criterios de impacto",J49)</f>
        <v>0</v>
      </c>
      <c r="L49" s="246"/>
      <c r="M49" s="228"/>
      <c r="N49" s="231"/>
      <c r="O49" s="125">
        <v>6</v>
      </c>
      <c r="P49" s="126"/>
      <c r="Q49" s="127" t="str">
        <f t="shared" si="46"/>
        <v/>
      </c>
      <c r="R49" s="128"/>
      <c r="S49" s="128"/>
      <c r="T49" s="129" t="str">
        <f t="shared" si="43"/>
        <v/>
      </c>
      <c r="U49" s="128"/>
      <c r="V49" s="128"/>
      <c r="W49" s="128"/>
      <c r="X49" s="130" t="str">
        <f t="shared" si="47"/>
        <v/>
      </c>
      <c r="Y49" s="131" t="str">
        <f t="shared" si="5"/>
        <v/>
      </c>
      <c r="Z49" s="132" t="str">
        <f t="shared" si="44"/>
        <v/>
      </c>
      <c r="AA49" s="131" t="str">
        <f t="shared" si="7"/>
        <v/>
      </c>
      <c r="AB49" s="140" t="str">
        <f t="shared" si="48"/>
        <v/>
      </c>
      <c r="AC49" s="133" t="str">
        <f t="shared" si="49"/>
        <v/>
      </c>
      <c r="AD49" s="134"/>
      <c r="AE49" s="135"/>
      <c r="AF49" s="136"/>
      <c r="AG49" s="137"/>
      <c r="AH49" s="137"/>
      <c r="AI49" s="135"/>
      <c r="AJ49" s="136"/>
    </row>
    <row r="50" spans="1:36" ht="49.5" customHeight="1" x14ac:dyDescent="0.35">
      <c r="A50" s="6"/>
      <c r="B50" s="223" t="s">
        <v>131</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5"/>
    </row>
    <row r="52" spans="1:36" x14ac:dyDescent="0.35">
      <c r="A52" s="1"/>
      <c r="B52" s="24" t="s">
        <v>143</v>
      </c>
      <c r="C52" s="1"/>
      <c r="D52" s="1"/>
      <c r="F52" s="1"/>
    </row>
  </sheetData>
  <dataConsolidate/>
  <mergeCells count="129">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 ref="A4:B4"/>
    <mergeCell ref="A5:B5"/>
    <mergeCell ref="A6:B6"/>
    <mergeCell ref="A8:A9"/>
    <mergeCell ref="F8:F9"/>
    <mergeCell ref="E8:E9"/>
    <mergeCell ref="D8:D9"/>
    <mergeCell ref="C8:C9"/>
    <mergeCell ref="AD8:AD9"/>
    <mergeCell ref="C6:N6"/>
    <mergeCell ref="O8:O9"/>
    <mergeCell ref="AC8:AC9"/>
    <mergeCell ref="AB8:AB9"/>
    <mergeCell ref="X8:X9"/>
    <mergeCell ref="P8:P9"/>
    <mergeCell ref="C4:N4"/>
    <mergeCell ref="O4:Q4"/>
    <mergeCell ref="B8:B9"/>
    <mergeCell ref="N8:N9"/>
    <mergeCell ref="J8:J9"/>
    <mergeCell ref="K8:K9"/>
    <mergeCell ref="Q8:Q9"/>
    <mergeCell ref="R8:W8"/>
    <mergeCell ref="M14:M19"/>
    <mergeCell ref="N14:N19"/>
    <mergeCell ref="M20:M25"/>
    <mergeCell ref="N20:N25"/>
    <mergeCell ref="J26:J31"/>
    <mergeCell ref="K26:K31"/>
    <mergeCell ref="L26:L31"/>
    <mergeCell ref="A14:A19"/>
    <mergeCell ref="B14:B19"/>
    <mergeCell ref="C14:C19"/>
    <mergeCell ref="A20:A25"/>
    <mergeCell ref="B20:B25"/>
    <mergeCell ref="C20:C25"/>
    <mergeCell ref="D20:D25"/>
    <mergeCell ref="E20:E25"/>
    <mergeCell ref="F20:F25"/>
    <mergeCell ref="D14:D19"/>
    <mergeCell ref="E14:E19"/>
    <mergeCell ref="J20:J25"/>
    <mergeCell ref="K20:K25"/>
    <mergeCell ref="L20:L25"/>
    <mergeCell ref="F14:F19"/>
    <mergeCell ref="G14:G19"/>
    <mergeCell ref="H14:H19"/>
    <mergeCell ref="I14:I19"/>
    <mergeCell ref="J14:J19"/>
    <mergeCell ref="G20:G25"/>
    <mergeCell ref="H20:H25"/>
    <mergeCell ref="I20:I25"/>
    <mergeCell ref="K14:K19"/>
    <mergeCell ref="L14:L19"/>
    <mergeCell ref="A32:A37"/>
    <mergeCell ref="B32:B37"/>
    <mergeCell ref="C32:C37"/>
    <mergeCell ref="D32:D37"/>
    <mergeCell ref="E32:E37"/>
    <mergeCell ref="A26:A31"/>
    <mergeCell ref="B26:B31"/>
    <mergeCell ref="C26:C31"/>
    <mergeCell ref="D26:D31"/>
    <mergeCell ref="E26:E31"/>
    <mergeCell ref="M26:M31"/>
    <mergeCell ref="N26:N31"/>
    <mergeCell ref="F32:F37"/>
    <mergeCell ref="G32:G37"/>
    <mergeCell ref="H32:H37"/>
    <mergeCell ref="I32:I37"/>
    <mergeCell ref="J32:J37"/>
    <mergeCell ref="F26:F31"/>
    <mergeCell ref="G26:G31"/>
    <mergeCell ref="H26:H31"/>
    <mergeCell ref="I26:I31"/>
    <mergeCell ref="K32:K37"/>
    <mergeCell ref="L32:L37"/>
    <mergeCell ref="M32:M37"/>
    <mergeCell ref="N32:N37"/>
    <mergeCell ref="K38:K43"/>
    <mergeCell ref="L38:L43"/>
    <mergeCell ref="A38:A43"/>
    <mergeCell ref="B38:B43"/>
    <mergeCell ref="C38:C43"/>
    <mergeCell ref="D38:D43"/>
    <mergeCell ref="E38:E43"/>
    <mergeCell ref="F38:F43"/>
    <mergeCell ref="G38:G43"/>
    <mergeCell ref="H38:H43"/>
    <mergeCell ref="I38:I43"/>
    <mergeCell ref="A1:AJ2"/>
    <mergeCell ref="A7:G7"/>
    <mergeCell ref="H7:N7"/>
    <mergeCell ref="O7:W7"/>
    <mergeCell ref="X7:AD7"/>
    <mergeCell ref="AE7:AJ7"/>
    <mergeCell ref="B50:AJ50"/>
    <mergeCell ref="M38:M43"/>
    <mergeCell ref="N38:N43"/>
    <mergeCell ref="A44:A49"/>
    <mergeCell ref="B44:B49"/>
    <mergeCell ref="C44:C49"/>
    <mergeCell ref="D44:D49"/>
    <mergeCell ref="E44:E49"/>
    <mergeCell ref="F44:F49"/>
    <mergeCell ref="G44:G49"/>
    <mergeCell ref="H44:H49"/>
    <mergeCell ref="I44:I49"/>
    <mergeCell ref="J44:J49"/>
    <mergeCell ref="K44:K49"/>
    <mergeCell ref="L44:L49"/>
    <mergeCell ref="M44:M49"/>
    <mergeCell ref="N44:N49"/>
    <mergeCell ref="J38:J43"/>
  </mergeCells>
  <conditionalFormatting sqref="H11 Y12">
    <cfRule type="cellIs" dxfId="216" priority="324" operator="equal">
      <formula>"Muy Alta"</formula>
    </cfRule>
    <cfRule type="cellIs" dxfId="215" priority="325" operator="equal">
      <formula>"Alta"</formula>
    </cfRule>
    <cfRule type="cellIs" dxfId="214" priority="326" operator="equal">
      <formula>"Media"</formula>
    </cfRule>
    <cfRule type="cellIs" dxfId="213" priority="327" operator="equal">
      <formula>"Baja"</formula>
    </cfRule>
    <cfRule type="cellIs" dxfId="212" priority="328" operator="equal">
      <formula>"Muy Baja"</formula>
    </cfRule>
  </conditionalFormatting>
  <conditionalFormatting sqref="L10:L11 L13:L14 L20 L26 L32 L38 L44 AA12">
    <cfRule type="cellIs" dxfId="211" priority="319" operator="equal">
      <formula>"Catastrófico"</formula>
    </cfRule>
    <cfRule type="cellIs" dxfId="210" priority="320" operator="equal">
      <formula>"Mayor"</formula>
    </cfRule>
    <cfRule type="cellIs" dxfId="209" priority="321" operator="equal">
      <formula>"Moderado"</formula>
    </cfRule>
    <cfRule type="cellIs" dxfId="208" priority="322" operator="equal">
      <formula>"Menor"</formula>
    </cfRule>
    <cfRule type="cellIs" dxfId="207" priority="323" operator="equal">
      <formula>"Leve"</formula>
    </cfRule>
  </conditionalFormatting>
  <conditionalFormatting sqref="N10 AC12">
    <cfRule type="cellIs" dxfId="206" priority="315" operator="equal">
      <formula>"Extremo"</formula>
    </cfRule>
    <cfRule type="cellIs" dxfId="205" priority="316" operator="equal">
      <formula>"Alto"</formula>
    </cfRule>
    <cfRule type="cellIs" dxfId="204" priority="317" operator="equal">
      <formula>"Moderado"</formula>
    </cfRule>
    <cfRule type="cellIs" dxfId="203" priority="318" operator="equal">
      <formula>"Bajo"</formula>
    </cfRule>
  </conditionalFormatting>
  <conditionalFormatting sqref="Y10">
    <cfRule type="cellIs" dxfId="202" priority="310" operator="equal">
      <formula>"Muy Alta"</formula>
    </cfRule>
    <cfRule type="cellIs" dxfId="201" priority="311" operator="equal">
      <formula>"Alta"</formula>
    </cfRule>
    <cfRule type="cellIs" dxfId="200" priority="312" operator="equal">
      <formula>"Media"</formula>
    </cfRule>
    <cfRule type="cellIs" dxfId="199" priority="313" operator="equal">
      <formula>"Baja"</formula>
    </cfRule>
    <cfRule type="cellIs" dxfId="198" priority="314" operator="equal">
      <formula>"Muy Baja"</formula>
    </cfRule>
  </conditionalFormatting>
  <conditionalFormatting sqref="AA10">
    <cfRule type="cellIs" dxfId="197" priority="305" operator="equal">
      <formula>"Catastrófico"</formula>
    </cfRule>
    <cfRule type="cellIs" dxfId="196" priority="306" operator="equal">
      <formula>"Mayor"</formula>
    </cfRule>
    <cfRule type="cellIs" dxfId="195" priority="307" operator="equal">
      <formula>"Moderado"</formula>
    </cfRule>
    <cfRule type="cellIs" dxfId="194" priority="308" operator="equal">
      <formula>"Menor"</formula>
    </cfRule>
    <cfRule type="cellIs" dxfId="193" priority="309" operator="equal">
      <formula>"Leve"</formula>
    </cfRule>
  </conditionalFormatting>
  <conditionalFormatting sqref="AC10">
    <cfRule type="cellIs" dxfId="192" priority="301" operator="equal">
      <formula>"Extremo"</formula>
    </cfRule>
    <cfRule type="cellIs" dxfId="191" priority="302" operator="equal">
      <formula>"Alto"</formula>
    </cfRule>
    <cfRule type="cellIs" dxfId="190" priority="303" operator="equal">
      <formula>"Moderado"</formula>
    </cfRule>
    <cfRule type="cellIs" dxfId="189" priority="304" operator="equal">
      <formula>"Bajo"</formula>
    </cfRule>
  </conditionalFormatting>
  <conditionalFormatting sqref="H38">
    <cfRule type="cellIs" dxfId="188" priority="58" operator="equal">
      <formula>"Muy Alta"</formula>
    </cfRule>
    <cfRule type="cellIs" dxfId="187" priority="59" operator="equal">
      <formula>"Alta"</formula>
    </cfRule>
    <cfRule type="cellIs" dxfId="186" priority="60" operator="equal">
      <formula>"Media"</formula>
    </cfRule>
    <cfRule type="cellIs" dxfId="185" priority="61" operator="equal">
      <formula>"Baja"</formula>
    </cfRule>
    <cfRule type="cellIs" dxfId="184" priority="62" operator="equal">
      <formula>"Muy Baja"</formula>
    </cfRule>
  </conditionalFormatting>
  <conditionalFormatting sqref="N11">
    <cfRule type="cellIs" dxfId="183" priority="245" operator="equal">
      <formula>"Extremo"</formula>
    </cfRule>
    <cfRule type="cellIs" dxfId="182" priority="246" operator="equal">
      <formula>"Alto"</formula>
    </cfRule>
    <cfRule type="cellIs" dxfId="181" priority="247" operator="equal">
      <formula>"Moderado"</formula>
    </cfRule>
    <cfRule type="cellIs" dxfId="180" priority="248" operator="equal">
      <formula>"Bajo"</formula>
    </cfRule>
  </conditionalFormatting>
  <conditionalFormatting sqref="Y11">
    <cfRule type="cellIs" dxfId="179" priority="240" operator="equal">
      <formula>"Muy Alta"</formula>
    </cfRule>
    <cfRule type="cellIs" dxfId="178" priority="241" operator="equal">
      <formula>"Alta"</formula>
    </cfRule>
    <cfRule type="cellIs" dxfId="177" priority="242" operator="equal">
      <formula>"Media"</formula>
    </cfRule>
    <cfRule type="cellIs" dxfId="176" priority="243" operator="equal">
      <formula>"Baja"</formula>
    </cfRule>
    <cfRule type="cellIs" dxfId="175" priority="244" operator="equal">
      <formula>"Muy Baja"</formula>
    </cfRule>
  </conditionalFormatting>
  <conditionalFormatting sqref="AA11">
    <cfRule type="cellIs" dxfId="174" priority="235" operator="equal">
      <formula>"Catastrófico"</formula>
    </cfRule>
    <cfRule type="cellIs" dxfId="173" priority="236" operator="equal">
      <formula>"Mayor"</formula>
    </cfRule>
    <cfRule type="cellIs" dxfId="172" priority="237" operator="equal">
      <formula>"Moderado"</formula>
    </cfRule>
    <cfRule type="cellIs" dxfId="171" priority="238" operator="equal">
      <formula>"Menor"</formula>
    </cfRule>
    <cfRule type="cellIs" dxfId="170" priority="239" operator="equal">
      <formula>"Leve"</formula>
    </cfRule>
  </conditionalFormatting>
  <conditionalFormatting sqref="AC11">
    <cfRule type="cellIs" dxfId="169" priority="231" operator="equal">
      <formula>"Extremo"</formula>
    </cfRule>
    <cfRule type="cellIs" dxfId="168" priority="232" operator="equal">
      <formula>"Alto"</formula>
    </cfRule>
    <cfRule type="cellIs" dxfId="167" priority="233" operator="equal">
      <formula>"Moderado"</formula>
    </cfRule>
    <cfRule type="cellIs" dxfId="166" priority="234" operator="equal">
      <formula>"Bajo"</formula>
    </cfRule>
  </conditionalFormatting>
  <conditionalFormatting sqref="H13">
    <cfRule type="cellIs" dxfId="165" priority="198" operator="equal">
      <formula>"Muy Alta"</formula>
    </cfRule>
    <cfRule type="cellIs" dxfId="164" priority="199" operator="equal">
      <formula>"Alta"</formula>
    </cfRule>
    <cfRule type="cellIs" dxfId="163" priority="200" operator="equal">
      <formula>"Media"</formula>
    </cfRule>
    <cfRule type="cellIs" dxfId="162" priority="201" operator="equal">
      <formula>"Baja"</formula>
    </cfRule>
    <cfRule type="cellIs" dxfId="161" priority="202" operator="equal">
      <formula>"Muy Baja"</formula>
    </cfRule>
  </conditionalFormatting>
  <conditionalFormatting sqref="N13">
    <cfRule type="cellIs" dxfId="160" priority="189" operator="equal">
      <formula>"Extremo"</formula>
    </cfRule>
    <cfRule type="cellIs" dxfId="159" priority="190" operator="equal">
      <formula>"Alto"</formula>
    </cfRule>
    <cfRule type="cellIs" dxfId="158" priority="191" operator="equal">
      <formula>"Moderado"</formula>
    </cfRule>
    <cfRule type="cellIs" dxfId="157" priority="192" operator="equal">
      <formula>"Bajo"</formula>
    </cfRule>
  </conditionalFormatting>
  <conditionalFormatting sqref="Y13">
    <cfRule type="cellIs" dxfId="156" priority="184" operator="equal">
      <formula>"Muy Alta"</formula>
    </cfRule>
    <cfRule type="cellIs" dxfId="155" priority="185" operator="equal">
      <formula>"Alta"</formula>
    </cfRule>
    <cfRule type="cellIs" dxfId="154" priority="186" operator="equal">
      <formula>"Media"</formula>
    </cfRule>
    <cfRule type="cellIs" dxfId="153" priority="187" operator="equal">
      <formula>"Baja"</formula>
    </cfRule>
    <cfRule type="cellIs" dxfId="152" priority="188" operator="equal">
      <formula>"Muy Baja"</formula>
    </cfRule>
  </conditionalFormatting>
  <conditionalFormatting sqref="AA13">
    <cfRule type="cellIs" dxfId="151" priority="179" operator="equal">
      <formula>"Catastrófico"</formula>
    </cfRule>
    <cfRule type="cellIs" dxfId="150" priority="180" operator="equal">
      <formula>"Mayor"</formula>
    </cfRule>
    <cfRule type="cellIs" dxfId="149" priority="181" operator="equal">
      <formula>"Moderado"</formula>
    </cfRule>
    <cfRule type="cellIs" dxfId="148" priority="182" operator="equal">
      <formula>"Menor"</formula>
    </cfRule>
    <cfRule type="cellIs" dxfId="147" priority="183" operator="equal">
      <formula>"Leve"</formula>
    </cfRule>
  </conditionalFormatting>
  <conditionalFormatting sqref="AC13">
    <cfRule type="cellIs" dxfId="146" priority="175" operator="equal">
      <formula>"Extremo"</formula>
    </cfRule>
    <cfRule type="cellIs" dxfId="145" priority="176" operator="equal">
      <formula>"Alto"</formula>
    </cfRule>
    <cfRule type="cellIs" dxfId="144" priority="177" operator="equal">
      <formula>"Moderado"</formula>
    </cfRule>
    <cfRule type="cellIs" dxfId="143" priority="178" operator="equal">
      <formula>"Bajo"</formula>
    </cfRule>
  </conditionalFormatting>
  <conditionalFormatting sqref="H14">
    <cfRule type="cellIs" dxfId="142" priority="170" operator="equal">
      <formula>"Muy Alta"</formula>
    </cfRule>
    <cfRule type="cellIs" dxfId="141" priority="171" operator="equal">
      <formula>"Alta"</formula>
    </cfRule>
    <cfRule type="cellIs" dxfId="140" priority="172" operator="equal">
      <formula>"Media"</formula>
    </cfRule>
    <cfRule type="cellIs" dxfId="139" priority="173" operator="equal">
      <formula>"Baja"</formula>
    </cfRule>
    <cfRule type="cellIs" dxfId="138" priority="174" operator="equal">
      <formula>"Muy Baja"</formula>
    </cfRule>
  </conditionalFormatting>
  <conditionalFormatting sqref="N14">
    <cfRule type="cellIs" dxfId="137" priority="161" operator="equal">
      <formula>"Extremo"</formula>
    </cfRule>
    <cfRule type="cellIs" dxfId="136" priority="162" operator="equal">
      <formula>"Alto"</formula>
    </cfRule>
    <cfRule type="cellIs" dxfId="135" priority="163" operator="equal">
      <formula>"Moderado"</formula>
    </cfRule>
    <cfRule type="cellIs" dxfId="134" priority="164" operator="equal">
      <formula>"Bajo"</formula>
    </cfRule>
  </conditionalFormatting>
  <conditionalFormatting sqref="Y14:Y19">
    <cfRule type="cellIs" dxfId="133" priority="156" operator="equal">
      <formula>"Muy Alta"</formula>
    </cfRule>
    <cfRule type="cellIs" dxfId="132" priority="157" operator="equal">
      <formula>"Alta"</formula>
    </cfRule>
    <cfRule type="cellIs" dxfId="131" priority="158" operator="equal">
      <formula>"Media"</formula>
    </cfRule>
    <cfRule type="cellIs" dxfId="130" priority="159" operator="equal">
      <formula>"Baja"</formula>
    </cfRule>
    <cfRule type="cellIs" dxfId="129" priority="160" operator="equal">
      <formula>"Muy Baja"</formula>
    </cfRule>
  </conditionalFormatting>
  <conditionalFormatting sqref="AA14:AA19">
    <cfRule type="cellIs" dxfId="128" priority="151" operator="equal">
      <formula>"Catastrófico"</formula>
    </cfRule>
    <cfRule type="cellIs" dxfId="127" priority="152" operator="equal">
      <formula>"Mayor"</formula>
    </cfRule>
    <cfRule type="cellIs" dxfId="126" priority="153" operator="equal">
      <formula>"Moderado"</formula>
    </cfRule>
    <cfRule type="cellIs" dxfId="125" priority="154" operator="equal">
      <formula>"Menor"</formula>
    </cfRule>
    <cfRule type="cellIs" dxfId="124" priority="155" operator="equal">
      <formula>"Leve"</formula>
    </cfRule>
  </conditionalFormatting>
  <conditionalFormatting sqref="AC14:AC19">
    <cfRule type="cellIs" dxfId="123" priority="147" operator="equal">
      <formula>"Extremo"</formula>
    </cfRule>
    <cfRule type="cellIs" dxfId="122" priority="148" operator="equal">
      <formula>"Alto"</formula>
    </cfRule>
    <cfRule type="cellIs" dxfId="121" priority="149" operator="equal">
      <formula>"Moderado"</formula>
    </cfRule>
    <cfRule type="cellIs" dxfId="120" priority="150" operator="equal">
      <formula>"Bajo"</formula>
    </cfRule>
  </conditionalFormatting>
  <conditionalFormatting sqref="H20">
    <cfRule type="cellIs" dxfId="119" priority="142" operator="equal">
      <formula>"Muy Alta"</formula>
    </cfRule>
    <cfRule type="cellIs" dxfId="118" priority="143" operator="equal">
      <formula>"Alta"</formula>
    </cfRule>
    <cfRule type="cellIs" dxfId="117" priority="144" operator="equal">
      <formula>"Media"</formula>
    </cfRule>
    <cfRule type="cellIs" dxfId="116" priority="145" operator="equal">
      <formula>"Baja"</formula>
    </cfRule>
    <cfRule type="cellIs" dxfId="115" priority="146" operator="equal">
      <formula>"Muy Baja"</formula>
    </cfRule>
  </conditionalFormatting>
  <conditionalFormatting sqref="N20">
    <cfRule type="cellIs" dxfId="114" priority="133" operator="equal">
      <formula>"Extremo"</formula>
    </cfRule>
    <cfRule type="cellIs" dxfId="113" priority="134" operator="equal">
      <formula>"Alto"</formula>
    </cfRule>
    <cfRule type="cellIs" dxfId="112" priority="135" operator="equal">
      <formula>"Moderado"</formula>
    </cfRule>
    <cfRule type="cellIs" dxfId="111" priority="136" operator="equal">
      <formula>"Bajo"</formula>
    </cfRule>
  </conditionalFormatting>
  <conditionalFormatting sqref="Y20:Y25">
    <cfRule type="cellIs" dxfId="110" priority="128" operator="equal">
      <formula>"Muy Alta"</formula>
    </cfRule>
    <cfRule type="cellIs" dxfId="109" priority="129" operator="equal">
      <formula>"Alta"</formula>
    </cfRule>
    <cfRule type="cellIs" dxfId="108" priority="130" operator="equal">
      <formula>"Media"</formula>
    </cfRule>
    <cfRule type="cellIs" dxfId="107" priority="131" operator="equal">
      <formula>"Baja"</formula>
    </cfRule>
    <cfRule type="cellIs" dxfId="106" priority="132" operator="equal">
      <formula>"Muy Baja"</formula>
    </cfRule>
  </conditionalFormatting>
  <conditionalFormatting sqref="AA20:AA25">
    <cfRule type="cellIs" dxfId="105" priority="123" operator="equal">
      <formula>"Catastrófico"</formula>
    </cfRule>
    <cfRule type="cellIs" dxfId="104" priority="124" operator="equal">
      <formula>"Mayor"</formula>
    </cfRule>
    <cfRule type="cellIs" dxfId="103" priority="125" operator="equal">
      <formula>"Moderado"</formula>
    </cfRule>
    <cfRule type="cellIs" dxfId="102" priority="126" operator="equal">
      <formula>"Menor"</formula>
    </cfRule>
    <cfRule type="cellIs" dxfId="101" priority="127" operator="equal">
      <formula>"Leve"</formula>
    </cfRule>
  </conditionalFormatting>
  <conditionalFormatting sqref="AC20:AC25">
    <cfRule type="cellIs" dxfId="100" priority="119" operator="equal">
      <formula>"Extremo"</formula>
    </cfRule>
    <cfRule type="cellIs" dxfId="99" priority="120" operator="equal">
      <formula>"Alto"</formula>
    </cfRule>
    <cfRule type="cellIs" dxfId="98" priority="121" operator="equal">
      <formula>"Moderado"</formula>
    </cfRule>
    <cfRule type="cellIs" dxfId="97" priority="122" operator="equal">
      <formula>"Bajo"</formula>
    </cfRule>
  </conditionalFormatting>
  <conditionalFormatting sqref="H26">
    <cfRule type="cellIs" dxfId="96" priority="114" operator="equal">
      <formula>"Muy Alta"</formula>
    </cfRule>
    <cfRule type="cellIs" dxfId="95" priority="115" operator="equal">
      <formula>"Alta"</formula>
    </cfRule>
    <cfRule type="cellIs" dxfId="94" priority="116" operator="equal">
      <formula>"Media"</formula>
    </cfRule>
    <cfRule type="cellIs" dxfId="93" priority="117" operator="equal">
      <formula>"Baja"</formula>
    </cfRule>
    <cfRule type="cellIs" dxfId="92" priority="118" operator="equal">
      <formula>"Muy Baja"</formula>
    </cfRule>
  </conditionalFormatting>
  <conditionalFormatting sqref="N26">
    <cfRule type="cellIs" dxfId="91" priority="105" operator="equal">
      <formula>"Extremo"</formula>
    </cfRule>
    <cfRule type="cellIs" dxfId="90" priority="106" operator="equal">
      <formula>"Alto"</formula>
    </cfRule>
    <cfRule type="cellIs" dxfId="89" priority="107" operator="equal">
      <formula>"Moderado"</formula>
    </cfRule>
    <cfRule type="cellIs" dxfId="88" priority="108" operator="equal">
      <formula>"Bajo"</formula>
    </cfRule>
  </conditionalFormatting>
  <conditionalFormatting sqref="Y26:Y31">
    <cfRule type="cellIs" dxfId="87" priority="100" operator="equal">
      <formula>"Muy Alta"</formula>
    </cfRule>
    <cfRule type="cellIs" dxfId="86" priority="101" operator="equal">
      <formula>"Alta"</formula>
    </cfRule>
    <cfRule type="cellIs" dxfId="85" priority="102" operator="equal">
      <formula>"Media"</formula>
    </cfRule>
    <cfRule type="cellIs" dxfId="84" priority="103" operator="equal">
      <formula>"Baja"</formula>
    </cfRule>
    <cfRule type="cellIs" dxfId="83" priority="104" operator="equal">
      <formula>"Muy Baja"</formula>
    </cfRule>
  </conditionalFormatting>
  <conditionalFormatting sqref="AA26:AA31">
    <cfRule type="cellIs" dxfId="82" priority="95" operator="equal">
      <formula>"Catastrófico"</formula>
    </cfRule>
    <cfRule type="cellIs" dxfId="81" priority="96" operator="equal">
      <formula>"Mayor"</formula>
    </cfRule>
    <cfRule type="cellIs" dxfId="80" priority="97" operator="equal">
      <formula>"Moderado"</formula>
    </cfRule>
    <cfRule type="cellIs" dxfId="79" priority="98" operator="equal">
      <formula>"Menor"</formula>
    </cfRule>
    <cfRule type="cellIs" dxfId="78" priority="99" operator="equal">
      <formula>"Leve"</formula>
    </cfRule>
  </conditionalFormatting>
  <conditionalFormatting sqref="AC26:AC31">
    <cfRule type="cellIs" dxfId="77" priority="91" operator="equal">
      <formula>"Extremo"</formula>
    </cfRule>
    <cfRule type="cellIs" dxfId="76" priority="92" operator="equal">
      <formula>"Alto"</formula>
    </cfRule>
    <cfRule type="cellIs" dxfId="75" priority="93" operator="equal">
      <formula>"Moderado"</formula>
    </cfRule>
    <cfRule type="cellIs" dxfId="74" priority="94" operator="equal">
      <formula>"Bajo"</formula>
    </cfRule>
  </conditionalFormatting>
  <conditionalFormatting sqref="H32">
    <cfRule type="cellIs" dxfId="73" priority="86" operator="equal">
      <formula>"Muy Alta"</formula>
    </cfRule>
    <cfRule type="cellIs" dxfId="72" priority="87" operator="equal">
      <formula>"Alta"</formula>
    </cfRule>
    <cfRule type="cellIs" dxfId="71" priority="88" operator="equal">
      <formula>"Media"</formula>
    </cfRule>
    <cfRule type="cellIs" dxfId="70" priority="89" operator="equal">
      <formula>"Baja"</formula>
    </cfRule>
    <cfRule type="cellIs" dxfId="69" priority="90" operator="equal">
      <formula>"Muy Baja"</formula>
    </cfRule>
  </conditionalFormatting>
  <conditionalFormatting sqref="N32">
    <cfRule type="cellIs" dxfId="68" priority="77" operator="equal">
      <formula>"Extremo"</formula>
    </cfRule>
    <cfRule type="cellIs" dxfId="67" priority="78" operator="equal">
      <formula>"Alto"</formula>
    </cfRule>
    <cfRule type="cellIs" dxfId="66" priority="79" operator="equal">
      <formula>"Moderado"</formula>
    </cfRule>
    <cfRule type="cellIs" dxfId="65" priority="80" operator="equal">
      <formula>"Bajo"</formula>
    </cfRule>
  </conditionalFormatting>
  <conditionalFormatting sqref="Y32:Y37">
    <cfRule type="cellIs" dxfId="64" priority="72" operator="equal">
      <formula>"Muy Alta"</formula>
    </cfRule>
    <cfRule type="cellIs" dxfId="63" priority="73" operator="equal">
      <formula>"Alta"</formula>
    </cfRule>
    <cfRule type="cellIs" dxfId="62" priority="74" operator="equal">
      <formula>"Media"</formula>
    </cfRule>
    <cfRule type="cellIs" dxfId="61" priority="75" operator="equal">
      <formula>"Baja"</formula>
    </cfRule>
    <cfRule type="cellIs" dxfId="60" priority="76" operator="equal">
      <formula>"Muy Baja"</formula>
    </cfRule>
  </conditionalFormatting>
  <conditionalFormatting sqref="AA32:AA37">
    <cfRule type="cellIs" dxfId="59" priority="67" operator="equal">
      <formula>"Catastrófico"</formula>
    </cfRule>
    <cfRule type="cellIs" dxfId="58" priority="68" operator="equal">
      <formula>"Mayor"</formula>
    </cfRule>
    <cfRule type="cellIs" dxfId="57" priority="69" operator="equal">
      <formula>"Moderado"</formula>
    </cfRule>
    <cfRule type="cellIs" dxfId="56" priority="70" operator="equal">
      <formula>"Menor"</formula>
    </cfRule>
    <cfRule type="cellIs" dxfId="55" priority="71" operator="equal">
      <formula>"Leve"</formula>
    </cfRule>
  </conditionalFormatting>
  <conditionalFormatting sqref="AC32:AC37">
    <cfRule type="cellIs" dxfId="54" priority="63" operator="equal">
      <formula>"Extremo"</formula>
    </cfRule>
    <cfRule type="cellIs" dxfId="53" priority="64" operator="equal">
      <formula>"Alto"</formula>
    </cfRule>
    <cfRule type="cellIs" dxfId="52" priority="65" operator="equal">
      <formula>"Moderado"</formula>
    </cfRule>
    <cfRule type="cellIs" dxfId="51" priority="66" operator="equal">
      <formula>"Bajo"</formula>
    </cfRule>
  </conditionalFormatting>
  <conditionalFormatting sqref="N38">
    <cfRule type="cellIs" dxfId="50" priority="49" operator="equal">
      <formula>"Extremo"</formula>
    </cfRule>
    <cfRule type="cellIs" dxfId="49" priority="50" operator="equal">
      <formula>"Alto"</formula>
    </cfRule>
    <cfRule type="cellIs" dxfId="48" priority="51" operator="equal">
      <formula>"Moderado"</formula>
    </cfRule>
    <cfRule type="cellIs" dxfId="47" priority="52" operator="equal">
      <formula>"Bajo"</formula>
    </cfRule>
  </conditionalFormatting>
  <conditionalFormatting sqref="Y38:Y43">
    <cfRule type="cellIs" dxfId="46" priority="44" operator="equal">
      <formula>"Muy Alta"</formula>
    </cfRule>
    <cfRule type="cellIs" dxfId="45" priority="45" operator="equal">
      <formula>"Alta"</formula>
    </cfRule>
    <cfRule type="cellIs" dxfId="44" priority="46" operator="equal">
      <formula>"Media"</formula>
    </cfRule>
    <cfRule type="cellIs" dxfId="43" priority="47" operator="equal">
      <formula>"Baja"</formula>
    </cfRule>
    <cfRule type="cellIs" dxfId="42" priority="48" operator="equal">
      <formula>"Muy Baja"</formula>
    </cfRule>
  </conditionalFormatting>
  <conditionalFormatting sqref="AA38:AA43">
    <cfRule type="cellIs" dxfId="41" priority="39" operator="equal">
      <formula>"Catastrófico"</formula>
    </cfRule>
    <cfRule type="cellIs" dxfId="40" priority="40" operator="equal">
      <formula>"Mayor"</formula>
    </cfRule>
    <cfRule type="cellIs" dxfId="39" priority="41" operator="equal">
      <formula>"Moderado"</formula>
    </cfRule>
    <cfRule type="cellIs" dxfId="38" priority="42" operator="equal">
      <formula>"Menor"</formula>
    </cfRule>
    <cfRule type="cellIs" dxfId="37" priority="43" operator="equal">
      <formula>"Leve"</formula>
    </cfRule>
  </conditionalFormatting>
  <conditionalFormatting sqref="AC38:AC43">
    <cfRule type="cellIs" dxfId="36" priority="35" operator="equal">
      <formula>"Extremo"</formula>
    </cfRule>
    <cfRule type="cellIs" dxfId="35" priority="36" operator="equal">
      <formula>"Alto"</formula>
    </cfRule>
    <cfRule type="cellIs" dxfId="34" priority="37" operator="equal">
      <formula>"Moderado"</formula>
    </cfRule>
    <cfRule type="cellIs" dxfId="33" priority="38" operator="equal">
      <formula>"Bajo"</formula>
    </cfRule>
  </conditionalFormatting>
  <conditionalFormatting sqref="H44">
    <cfRule type="cellIs" dxfId="32" priority="30" operator="equal">
      <formula>"Muy Alta"</formula>
    </cfRule>
    <cfRule type="cellIs" dxfId="31" priority="31" operator="equal">
      <formula>"Alta"</formula>
    </cfRule>
    <cfRule type="cellIs" dxfId="30" priority="32" operator="equal">
      <formula>"Media"</formula>
    </cfRule>
    <cfRule type="cellIs" dxfId="29" priority="33" operator="equal">
      <formula>"Baja"</formula>
    </cfRule>
    <cfRule type="cellIs" dxfId="28" priority="34" operator="equal">
      <formula>"Muy Baja"</formula>
    </cfRule>
  </conditionalFormatting>
  <conditionalFormatting sqref="N44">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Y44:Y49">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AA44:AA49">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AC44:AC49">
    <cfRule type="cellIs" dxfId="13" priority="7" operator="equal">
      <formula>"Extremo"</formula>
    </cfRule>
    <cfRule type="cellIs" dxfId="12" priority="8" operator="equal">
      <formula>"Alto"</formula>
    </cfRule>
    <cfRule type="cellIs" dxfId="11" priority="9" operator="equal">
      <formula>"Moderado"</formula>
    </cfRule>
    <cfRule type="cellIs" dxfId="10" priority="10" operator="equal">
      <formula>"Bajo"</formula>
    </cfRule>
  </conditionalFormatting>
  <conditionalFormatting sqref="K10:K49">
    <cfRule type="containsText" dxfId="9" priority="6" operator="containsText" text="❌">
      <formula>NOT(ISERROR(SEARCH("❌",K10)))</formula>
    </cfRule>
  </conditionalFormatting>
  <conditionalFormatting sqref="H10">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AJ17:AJ18 AJ20:AJ21 AJ23:AJ24 AJ26:AJ27 AJ29:AJ30 AJ32:AJ33 AJ35:AJ36 AJ38:AJ39 AJ41:AJ42 AJ44:AJ45 AJ47:AJ48 AJ10:AJ15</xm:sqref>
        </x14:dataValidation>
        <x14:dataValidation type="list" allowBlank="1" showInputMessage="1" showErrorMessage="1">
          <x14:formula1>
            <xm:f>'Tabla Valoración controles'!$D$4:$D$6</xm:f>
          </x14:formula1>
          <xm:sqref>R10:R49</xm:sqref>
        </x14:dataValidation>
        <x14:dataValidation type="list" allowBlank="1" showInputMessage="1" showErrorMessage="1">
          <x14:formula1>
            <xm:f>'Tabla Valoración controles'!$D$7:$D$8</xm:f>
          </x14:formula1>
          <xm:sqref>S10:S49</xm:sqref>
        </x14:dataValidation>
        <x14:dataValidation type="list" allowBlank="1" showInputMessage="1" showErrorMessage="1">
          <x14:formula1>
            <xm:f>'Tabla Valoración controles'!$D$9:$D$10</xm:f>
          </x14:formula1>
          <xm:sqref>U10:U49</xm:sqref>
        </x14:dataValidation>
        <x14:dataValidation type="list" allowBlank="1" showInputMessage="1" showErrorMessage="1">
          <x14:formula1>
            <xm:f>'Tabla Valoración controles'!$D$11:$D$12</xm:f>
          </x14:formula1>
          <xm:sqref>V10:V49</xm:sqref>
        </x14:dataValidation>
        <x14:dataValidation type="list" allowBlank="1" showInputMessage="1" showErrorMessage="1">
          <x14:formula1>
            <xm:f>'Tabla Valoración controles'!$D$13:$D$14</xm:f>
          </x14:formula1>
          <xm:sqref>W10:W49</xm:sqref>
        </x14:dataValidation>
        <x14:dataValidation type="list" allowBlank="1" showInputMessage="1" showErrorMessage="1">
          <x14:formula1>
            <xm:f>'Opciones Tratamiento'!$B$13:$B$19</xm:f>
          </x14:formula1>
          <xm:sqref>F10:F49</xm:sqref>
        </x14:dataValidation>
        <x14:dataValidation type="list" allowBlank="1" showInputMessage="1" showErrorMessage="1">
          <x14:formula1>
            <xm:f>'Opciones Tratamiento'!$E$2:$E$4</xm:f>
          </x14:formula1>
          <xm:sqref>B10:B49</xm:sqref>
        </x14:dataValidation>
        <x14:dataValidation type="list" allowBlank="1" showInputMessage="1" showErrorMessage="1">
          <x14:formula1>
            <xm:f>'Opciones Tratamiento'!$B$2:$B$5</xm:f>
          </x14:formula1>
          <xm:sqref>AD10:AD49</xm:sqref>
        </x14:dataValidation>
        <x14:dataValidation type="list" allowBlank="1" showInputMessage="1" showErrorMessage="1">
          <x14:formula1>
            <xm:f>'Tabla Impacto'!$F$210:$F$221</xm:f>
          </x14:formula1>
          <xm:sqref>J10:J49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AE10:AE49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AF10:AF49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AG10:AG49 AH10:AI13</xm:sqref>
        </x14:dataValidation>
        <x14:dataValidation type="custom" allowBlank="1" showInputMessage="1" showErrorMessage="1" error="Recuerde que las acciones se generan bajo la medida de mitigar el riesgo">
          <x14:formula1>
            <xm:f>IF(OR(AD14='Opciones Tratamiento'!$B$2,AD14='Opciones Tratamiento'!$B$3,AD14='Opciones Tratamiento'!$B$4),ISBLANK(AD14),ISTEXT(AD14))</xm:f>
          </x14:formula1>
          <xm:sqref>AH14:AH49</xm:sqref>
        </x14:dataValidation>
        <x14:dataValidation type="custom" allowBlank="1" showInputMessage="1" showErrorMessage="1" error="Recuerde que las acciones se generan bajo la medida de mitigar el riesgo">
          <x14:formula1>
            <xm:f>IF(OR(AD14='Opciones Tratamiento'!$B$2,AD14='Opciones Tratamiento'!$B$3,AD14='Opciones Tratamiento'!$B$4),ISBLANK(AD14),ISTEXT(AD14))</xm:f>
          </x14:formula1>
          <xm:sqref>AI14:AI49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4.6" x14ac:dyDescent="0.4"/>
  <cols>
    <col min="2" max="39" width="5.69140625" customWidth="1"/>
    <col min="41" max="46" width="5.69140625" customWidth="1"/>
  </cols>
  <sheetData>
    <row r="1" spans="1:99"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4">
      <c r="A2" s="84"/>
      <c r="B2" s="363" t="s">
        <v>161</v>
      </c>
      <c r="C2" s="363"/>
      <c r="D2" s="363"/>
      <c r="E2" s="363"/>
      <c r="F2" s="363"/>
      <c r="G2" s="363"/>
      <c r="H2" s="363"/>
      <c r="I2" s="363"/>
      <c r="J2" s="330" t="s">
        <v>2</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4">
      <c r="A3" s="84"/>
      <c r="B3" s="363"/>
      <c r="C3" s="363"/>
      <c r="D3" s="363"/>
      <c r="E3" s="363"/>
      <c r="F3" s="363"/>
      <c r="G3" s="363"/>
      <c r="H3" s="363"/>
      <c r="I3" s="363"/>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4">
      <c r="A4" s="84"/>
      <c r="B4" s="363"/>
      <c r="C4" s="363"/>
      <c r="D4" s="363"/>
      <c r="E4" s="363"/>
      <c r="F4" s="363"/>
      <c r="G4" s="363"/>
      <c r="H4" s="363"/>
      <c r="I4" s="363"/>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4">
      <c r="A6" s="84"/>
      <c r="B6" s="276" t="s">
        <v>4</v>
      </c>
      <c r="C6" s="276"/>
      <c r="D6" s="277"/>
      <c r="E6" s="314" t="s">
        <v>116</v>
      </c>
      <c r="F6" s="315"/>
      <c r="G6" s="315"/>
      <c r="H6" s="315"/>
      <c r="I6" s="316"/>
      <c r="J6" s="326" t="str">
        <f>IF(AND('Mapa final'!$H$10="Muy Alta",'Mapa final'!$L$10="Leve"),CONCATENATE("R",'Mapa final'!$A$10),"")</f>
        <v/>
      </c>
      <c r="K6" s="327"/>
      <c r="L6" s="327" t="str">
        <f>IF(AND('Mapa final'!$H$11="Muy Alta",'Mapa final'!$L$11="Leve"),CONCATENATE("R",'Mapa final'!$A$11),"")</f>
        <v/>
      </c>
      <c r="M6" s="327"/>
      <c r="N6" s="327" t="e">
        <f>IF(AND('Mapa final'!#REF!="Muy Alta",'Mapa final'!#REF!="Leve"),CONCATENATE("R",'Mapa final'!#REF!),"")</f>
        <v>#REF!</v>
      </c>
      <c r="O6" s="329"/>
      <c r="P6" s="326" t="str">
        <f>IF(AND('Mapa final'!$H$10="Muy Alta",'Mapa final'!$L$10="Menor"),CONCATENATE("R",'Mapa final'!$A$10),"")</f>
        <v/>
      </c>
      <c r="Q6" s="327"/>
      <c r="R6" s="327" t="str">
        <f>IF(AND('Mapa final'!$H$11="Muy Alta",'Mapa final'!$L$11="Menor"),CONCATENATE("R",'Mapa final'!$A$11),"")</f>
        <v/>
      </c>
      <c r="S6" s="327"/>
      <c r="T6" s="327" t="e">
        <f>IF(AND('Mapa final'!#REF!="Muy Alta",'Mapa final'!#REF!="Menor"),CONCATENATE("R",'Mapa final'!#REF!),"")</f>
        <v>#REF!</v>
      </c>
      <c r="U6" s="329"/>
      <c r="V6" s="326" t="str">
        <f>IF(AND('Mapa final'!$H$10="Muy Alta",'Mapa final'!$L$10="Moderado"),CONCATENATE("R",'Mapa final'!$A$10),"")</f>
        <v/>
      </c>
      <c r="W6" s="327"/>
      <c r="X6" s="327" t="str">
        <f>IF(AND('Mapa final'!$H$11="Muy Alta",'Mapa final'!$L$11="Moderado"),CONCATENATE("R",'Mapa final'!$A$11),"")</f>
        <v/>
      </c>
      <c r="Y6" s="327"/>
      <c r="Z6" s="327" t="e">
        <f>IF(AND('Mapa final'!#REF!="Muy Alta",'Mapa final'!#REF!="Moderado"),CONCATENATE("R",'Mapa final'!#REF!),"")</f>
        <v>#REF!</v>
      </c>
      <c r="AA6" s="329"/>
      <c r="AB6" s="326" t="str">
        <f>IF(AND('Mapa final'!$H$10="Muy Alta",'Mapa final'!$L$10="Mayor"),CONCATENATE("R",'Mapa final'!$A$10),"")</f>
        <v/>
      </c>
      <c r="AC6" s="327"/>
      <c r="AD6" s="327" t="str">
        <f>IF(AND('Mapa final'!$H$11="Muy Alta",'Mapa final'!$L$11="Mayor"),CONCATENATE("R",'Mapa final'!$A$11),"")</f>
        <v/>
      </c>
      <c r="AE6" s="327"/>
      <c r="AF6" s="327" t="e">
        <f>IF(AND('Mapa final'!#REF!="Muy Alta",'Mapa final'!#REF!="Mayor"),CONCATENATE("R",'Mapa final'!#REF!),"")</f>
        <v>#REF!</v>
      </c>
      <c r="AG6" s="329"/>
      <c r="AH6" s="342" t="str">
        <f>IF(AND('Mapa final'!$H$10="Muy Alta",'Mapa final'!$L$10="Catastrófico"),CONCATENATE("R",'Mapa final'!$A$10),"")</f>
        <v/>
      </c>
      <c r="AI6" s="343"/>
      <c r="AJ6" s="343" t="str">
        <f>IF(AND('Mapa final'!$H$11="Muy Alta",'Mapa final'!$L$11="Catastrófico"),CONCATENATE("R",'Mapa final'!$A$11),"")</f>
        <v/>
      </c>
      <c r="AK6" s="343"/>
      <c r="AL6" s="343" t="e">
        <f>IF(AND('Mapa final'!#REF!="Muy Alta",'Mapa final'!#REF!="Catastrófico"),CONCATENATE("R",'Mapa final'!#REF!),"")</f>
        <v>#REF!</v>
      </c>
      <c r="AM6" s="344"/>
      <c r="AO6" s="278" t="s">
        <v>79</v>
      </c>
      <c r="AP6" s="279"/>
      <c r="AQ6" s="279"/>
      <c r="AR6" s="279"/>
      <c r="AS6" s="279"/>
      <c r="AT6" s="280"/>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4">
      <c r="A7" s="84"/>
      <c r="B7" s="276"/>
      <c r="C7" s="276"/>
      <c r="D7" s="277"/>
      <c r="E7" s="317"/>
      <c r="F7" s="318"/>
      <c r="G7" s="318"/>
      <c r="H7" s="318"/>
      <c r="I7" s="319"/>
      <c r="J7" s="328"/>
      <c r="K7" s="325"/>
      <c r="L7" s="325"/>
      <c r="M7" s="325"/>
      <c r="N7" s="325"/>
      <c r="O7" s="324"/>
      <c r="P7" s="328"/>
      <c r="Q7" s="325"/>
      <c r="R7" s="325"/>
      <c r="S7" s="325"/>
      <c r="T7" s="325"/>
      <c r="U7" s="324"/>
      <c r="V7" s="328"/>
      <c r="W7" s="325"/>
      <c r="X7" s="325"/>
      <c r="Y7" s="325"/>
      <c r="Z7" s="325"/>
      <c r="AA7" s="324"/>
      <c r="AB7" s="328"/>
      <c r="AC7" s="325"/>
      <c r="AD7" s="325"/>
      <c r="AE7" s="325"/>
      <c r="AF7" s="325"/>
      <c r="AG7" s="324"/>
      <c r="AH7" s="336"/>
      <c r="AI7" s="337"/>
      <c r="AJ7" s="337"/>
      <c r="AK7" s="337"/>
      <c r="AL7" s="337"/>
      <c r="AM7" s="338"/>
      <c r="AN7" s="84"/>
      <c r="AO7" s="281"/>
      <c r="AP7" s="282"/>
      <c r="AQ7" s="282"/>
      <c r="AR7" s="282"/>
      <c r="AS7" s="282"/>
      <c r="AT7" s="283"/>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4">
      <c r="A8" s="84"/>
      <c r="B8" s="276"/>
      <c r="C8" s="276"/>
      <c r="D8" s="277"/>
      <c r="E8" s="317"/>
      <c r="F8" s="318"/>
      <c r="G8" s="318"/>
      <c r="H8" s="318"/>
      <c r="I8" s="319"/>
      <c r="J8" s="328" t="str">
        <f>IF(AND('Mapa final'!$H$13="Muy Alta",'Mapa final'!$L$13="Leve"),CONCATENATE("R",'Mapa final'!$A$13),"")</f>
        <v/>
      </c>
      <c r="K8" s="325"/>
      <c r="L8" s="323" t="str">
        <f ca="1">IF(AND('Mapa final'!$H$14="Muy Alta",'Mapa final'!$L$14="Leve"),CONCATENATE("R",'Mapa final'!$A$14),"")</f>
        <v/>
      </c>
      <c r="M8" s="323"/>
      <c r="N8" s="323" t="str">
        <f ca="1">IF(AND('Mapa final'!$H$20="Muy Alta",'Mapa final'!$L$20="Leve"),CONCATENATE("R",'Mapa final'!$A$20),"")</f>
        <v/>
      </c>
      <c r="O8" s="324"/>
      <c r="P8" s="328" t="str">
        <f>IF(AND('Mapa final'!$H$13="Muy Alta",'Mapa final'!$L$13="Menor"),CONCATENATE("R",'Mapa final'!$A$13),"")</f>
        <v/>
      </c>
      <c r="Q8" s="325"/>
      <c r="R8" s="323" t="str">
        <f ca="1">IF(AND('Mapa final'!$H$14="Muy Alta",'Mapa final'!$L$14="Menor"),CONCATENATE("R",'Mapa final'!$A$14),"")</f>
        <v/>
      </c>
      <c r="S8" s="323"/>
      <c r="T8" s="323" t="str">
        <f ca="1">IF(AND('Mapa final'!$H$20="Muy Alta",'Mapa final'!$L$20="Menor"),CONCATENATE("R",'Mapa final'!$A$20),"")</f>
        <v/>
      </c>
      <c r="U8" s="324"/>
      <c r="V8" s="328" t="str">
        <f>IF(AND('Mapa final'!$H$13="Muy Alta",'Mapa final'!$L$13="Moderado"),CONCATENATE("R",'Mapa final'!$A$13),"")</f>
        <v/>
      </c>
      <c r="W8" s="325"/>
      <c r="X8" s="323" t="str">
        <f ca="1">IF(AND('Mapa final'!$H$14="Muy Alta",'Mapa final'!$L$14="Moderado"),CONCATENATE("R",'Mapa final'!$A$14),"")</f>
        <v/>
      </c>
      <c r="Y8" s="323"/>
      <c r="Z8" s="323" t="str">
        <f ca="1">IF(AND('Mapa final'!$H$20="Muy Alta",'Mapa final'!$L$20="Moderado"),CONCATENATE("R",'Mapa final'!$A$20),"")</f>
        <v/>
      </c>
      <c r="AA8" s="324"/>
      <c r="AB8" s="328" t="str">
        <f>IF(AND('Mapa final'!$H$13="Muy Alta",'Mapa final'!$L$13="Mayor"),CONCATENATE("R",'Mapa final'!$A$13),"")</f>
        <v/>
      </c>
      <c r="AC8" s="325"/>
      <c r="AD8" s="323" t="str">
        <f ca="1">IF(AND('Mapa final'!$H$14="Muy Alta",'Mapa final'!$L$14="Mayor"),CONCATENATE("R",'Mapa final'!$A$14),"")</f>
        <v/>
      </c>
      <c r="AE8" s="323"/>
      <c r="AF8" s="323" t="str">
        <f ca="1">IF(AND('Mapa final'!$H$20="Muy Alta",'Mapa final'!$L$20="Mayor"),CONCATENATE("R",'Mapa final'!$A$20),"")</f>
        <v/>
      </c>
      <c r="AG8" s="324"/>
      <c r="AH8" s="336" t="str">
        <f>IF(AND('Mapa final'!$H$13="Muy Alta",'Mapa final'!$L$13="Catastrófico"),CONCATENATE("R",'Mapa final'!$A$13),"")</f>
        <v/>
      </c>
      <c r="AI8" s="337"/>
      <c r="AJ8" s="337" t="str">
        <f ca="1">IF(AND('Mapa final'!$H$14="Muy Alta",'Mapa final'!$L$14="Catastrófico"),CONCATENATE("R",'Mapa final'!$A$14),"")</f>
        <v/>
      </c>
      <c r="AK8" s="337"/>
      <c r="AL8" s="337" t="str">
        <f ca="1">IF(AND('Mapa final'!$H$20="Muy Alta",'Mapa final'!$L$20="Catastrófico"),CONCATENATE("R",'Mapa final'!$A$20),"")</f>
        <v/>
      </c>
      <c r="AM8" s="338"/>
      <c r="AN8" s="84"/>
      <c r="AO8" s="281"/>
      <c r="AP8" s="282"/>
      <c r="AQ8" s="282"/>
      <c r="AR8" s="282"/>
      <c r="AS8" s="282"/>
      <c r="AT8" s="283"/>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4">
      <c r="A9" s="84"/>
      <c r="B9" s="276"/>
      <c r="C9" s="276"/>
      <c r="D9" s="277"/>
      <c r="E9" s="317"/>
      <c r="F9" s="318"/>
      <c r="G9" s="318"/>
      <c r="H9" s="318"/>
      <c r="I9" s="319"/>
      <c r="J9" s="328"/>
      <c r="K9" s="325"/>
      <c r="L9" s="323"/>
      <c r="M9" s="323"/>
      <c r="N9" s="323"/>
      <c r="O9" s="324"/>
      <c r="P9" s="328"/>
      <c r="Q9" s="325"/>
      <c r="R9" s="323"/>
      <c r="S9" s="323"/>
      <c r="T9" s="323"/>
      <c r="U9" s="324"/>
      <c r="V9" s="328"/>
      <c r="W9" s="325"/>
      <c r="X9" s="323"/>
      <c r="Y9" s="323"/>
      <c r="Z9" s="323"/>
      <c r="AA9" s="324"/>
      <c r="AB9" s="328"/>
      <c r="AC9" s="325"/>
      <c r="AD9" s="323"/>
      <c r="AE9" s="323"/>
      <c r="AF9" s="323"/>
      <c r="AG9" s="324"/>
      <c r="AH9" s="336"/>
      <c r="AI9" s="337"/>
      <c r="AJ9" s="337"/>
      <c r="AK9" s="337"/>
      <c r="AL9" s="337"/>
      <c r="AM9" s="338"/>
      <c r="AN9" s="84"/>
      <c r="AO9" s="281"/>
      <c r="AP9" s="282"/>
      <c r="AQ9" s="282"/>
      <c r="AR9" s="282"/>
      <c r="AS9" s="282"/>
      <c r="AT9" s="283"/>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4">
      <c r="A10" s="84"/>
      <c r="B10" s="276"/>
      <c r="C10" s="276"/>
      <c r="D10" s="277"/>
      <c r="E10" s="317"/>
      <c r="F10" s="318"/>
      <c r="G10" s="318"/>
      <c r="H10" s="318"/>
      <c r="I10" s="319"/>
      <c r="J10" s="328" t="str">
        <f ca="1">IF(AND('Mapa final'!$H$26="Muy Alta",'Mapa final'!$L$26="Leve"),CONCATENATE("R",'Mapa final'!$A$26),"")</f>
        <v/>
      </c>
      <c r="K10" s="325"/>
      <c r="L10" s="323" t="str">
        <f ca="1">IF(AND('Mapa final'!$H$32="Muy Alta",'Mapa final'!$L$32="Leve"),CONCATENATE("R",'Mapa final'!$A$32),"")</f>
        <v/>
      </c>
      <c r="M10" s="323"/>
      <c r="N10" s="323" t="str">
        <f ca="1">IF(AND('Mapa final'!$H$38="Muy Alta",'Mapa final'!$L$38="Leve"),CONCATENATE("R",'Mapa final'!$A$38),"")</f>
        <v/>
      </c>
      <c r="O10" s="324"/>
      <c r="P10" s="328" t="str">
        <f ca="1">IF(AND('Mapa final'!$H$26="Muy Alta",'Mapa final'!$L$26="Menor"),CONCATENATE("R",'Mapa final'!$A$26),"")</f>
        <v/>
      </c>
      <c r="Q10" s="325"/>
      <c r="R10" s="323" t="str">
        <f ca="1">IF(AND('Mapa final'!$H$32="Muy Alta",'Mapa final'!$L$32="Menor"),CONCATENATE("R",'Mapa final'!$A$32),"")</f>
        <v/>
      </c>
      <c r="S10" s="323"/>
      <c r="T10" s="323" t="str">
        <f ca="1">IF(AND('Mapa final'!$H$38="Muy Alta",'Mapa final'!$L$38="Menor"),CONCATENATE("R",'Mapa final'!$A$38),"")</f>
        <v/>
      </c>
      <c r="U10" s="324"/>
      <c r="V10" s="328" t="str">
        <f ca="1">IF(AND('Mapa final'!$H$26="Muy Alta",'Mapa final'!$L$26="Moderado"),CONCATENATE("R",'Mapa final'!$A$26),"")</f>
        <v/>
      </c>
      <c r="W10" s="325"/>
      <c r="X10" s="323" t="str">
        <f ca="1">IF(AND('Mapa final'!$H$32="Muy Alta",'Mapa final'!$L$32="Moderado"),CONCATENATE("R",'Mapa final'!$A$32),"")</f>
        <v/>
      </c>
      <c r="Y10" s="323"/>
      <c r="Z10" s="323" t="str">
        <f ca="1">IF(AND('Mapa final'!$H$38="Muy Alta",'Mapa final'!$L$38="Moderado"),CONCATENATE("R",'Mapa final'!$A$38),"")</f>
        <v/>
      </c>
      <c r="AA10" s="324"/>
      <c r="AB10" s="328" t="str">
        <f ca="1">IF(AND('Mapa final'!$H$26="Muy Alta",'Mapa final'!$L$26="Mayor"),CONCATENATE("R",'Mapa final'!$A$26),"")</f>
        <v/>
      </c>
      <c r="AC10" s="325"/>
      <c r="AD10" s="323" t="str">
        <f ca="1">IF(AND('Mapa final'!$H$32="Muy Alta",'Mapa final'!$L$32="Mayor"),CONCATENATE("R",'Mapa final'!$A$32),"")</f>
        <v/>
      </c>
      <c r="AE10" s="323"/>
      <c r="AF10" s="323" t="str">
        <f ca="1">IF(AND('Mapa final'!$H$38="Muy Alta",'Mapa final'!$L$38="Mayor"),CONCATENATE("R",'Mapa final'!$A$38),"")</f>
        <v/>
      </c>
      <c r="AG10" s="324"/>
      <c r="AH10" s="336" t="str">
        <f ca="1">IF(AND('Mapa final'!$H$26="Muy Alta",'Mapa final'!$L$26="Catastrófico"),CONCATENATE("R",'Mapa final'!$A$26),"")</f>
        <v/>
      </c>
      <c r="AI10" s="337"/>
      <c r="AJ10" s="337" t="str">
        <f ca="1">IF(AND('Mapa final'!$H$32="Muy Alta",'Mapa final'!$L$32="Catastrófico"),CONCATENATE("R",'Mapa final'!$A$32),"")</f>
        <v/>
      </c>
      <c r="AK10" s="337"/>
      <c r="AL10" s="337" t="str">
        <f ca="1">IF(AND('Mapa final'!$H$38="Muy Alta",'Mapa final'!$L$38="Catastrófico"),CONCATENATE("R",'Mapa final'!$A$38),"")</f>
        <v/>
      </c>
      <c r="AM10" s="338"/>
      <c r="AN10" s="84"/>
      <c r="AO10" s="281"/>
      <c r="AP10" s="282"/>
      <c r="AQ10" s="282"/>
      <c r="AR10" s="282"/>
      <c r="AS10" s="282"/>
      <c r="AT10" s="283"/>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4">
      <c r="A11" s="84"/>
      <c r="B11" s="276"/>
      <c r="C11" s="276"/>
      <c r="D11" s="277"/>
      <c r="E11" s="317"/>
      <c r="F11" s="318"/>
      <c r="G11" s="318"/>
      <c r="H11" s="318"/>
      <c r="I11" s="319"/>
      <c r="J11" s="328"/>
      <c r="K11" s="325"/>
      <c r="L11" s="323"/>
      <c r="M11" s="323"/>
      <c r="N11" s="323"/>
      <c r="O11" s="324"/>
      <c r="P11" s="328"/>
      <c r="Q11" s="325"/>
      <c r="R11" s="323"/>
      <c r="S11" s="323"/>
      <c r="T11" s="323"/>
      <c r="U11" s="324"/>
      <c r="V11" s="328"/>
      <c r="W11" s="325"/>
      <c r="X11" s="323"/>
      <c r="Y11" s="323"/>
      <c r="Z11" s="323"/>
      <c r="AA11" s="324"/>
      <c r="AB11" s="328"/>
      <c r="AC11" s="325"/>
      <c r="AD11" s="323"/>
      <c r="AE11" s="323"/>
      <c r="AF11" s="323"/>
      <c r="AG11" s="324"/>
      <c r="AH11" s="336"/>
      <c r="AI11" s="337"/>
      <c r="AJ11" s="337"/>
      <c r="AK11" s="337"/>
      <c r="AL11" s="337"/>
      <c r="AM11" s="338"/>
      <c r="AN11" s="84"/>
      <c r="AO11" s="281"/>
      <c r="AP11" s="282"/>
      <c r="AQ11" s="282"/>
      <c r="AR11" s="282"/>
      <c r="AS11" s="282"/>
      <c r="AT11" s="283"/>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4">
      <c r="A12" s="84"/>
      <c r="B12" s="276"/>
      <c r="C12" s="276"/>
      <c r="D12" s="277"/>
      <c r="E12" s="317"/>
      <c r="F12" s="318"/>
      <c r="G12" s="318"/>
      <c r="H12" s="318"/>
      <c r="I12" s="319"/>
      <c r="J12" s="328" t="str">
        <f ca="1">IF(AND('Mapa final'!$H$44="Muy Alta",'Mapa final'!$L$44="Leve"),CONCATENATE("R",'Mapa final'!$A$44),"")</f>
        <v/>
      </c>
      <c r="K12" s="325"/>
      <c r="L12" s="323" t="str">
        <f>IF(AND('Mapa final'!$H$50="Muy Alta",'Mapa final'!$L$50="Leve"),CONCATENATE("R",'Mapa final'!$A$50),"")</f>
        <v/>
      </c>
      <c r="M12" s="323"/>
      <c r="N12" s="323" t="str">
        <f>IF(AND('Mapa final'!$H$56="Muy Alta",'Mapa final'!$L$56="Leve"),CONCATENATE("R",'Mapa final'!$A$56),"")</f>
        <v/>
      </c>
      <c r="O12" s="324"/>
      <c r="P12" s="328" t="str">
        <f ca="1">IF(AND('Mapa final'!$H$44="Muy Alta",'Mapa final'!$L$44="Menor"),CONCATENATE("R",'Mapa final'!$A$44),"")</f>
        <v/>
      </c>
      <c r="Q12" s="325"/>
      <c r="R12" s="323" t="str">
        <f>IF(AND('Mapa final'!$H$50="Muy Alta",'Mapa final'!$L$50="Menor"),CONCATENATE("R",'Mapa final'!$A$50),"")</f>
        <v/>
      </c>
      <c r="S12" s="323"/>
      <c r="T12" s="323" t="str">
        <f>IF(AND('Mapa final'!$H$56="Muy Alta",'Mapa final'!$L$56="Menor"),CONCATENATE("R",'Mapa final'!$A$56),"")</f>
        <v/>
      </c>
      <c r="U12" s="324"/>
      <c r="V12" s="328" t="str">
        <f ca="1">IF(AND('Mapa final'!$H$44="Muy Alta",'Mapa final'!$L$44="Moderado"),CONCATENATE("R",'Mapa final'!$A$44),"")</f>
        <v/>
      </c>
      <c r="W12" s="325"/>
      <c r="X12" s="323" t="str">
        <f>IF(AND('Mapa final'!$H$50="Muy Alta",'Mapa final'!$L$50="Moderado"),CONCATENATE("R",'Mapa final'!$A$50),"")</f>
        <v/>
      </c>
      <c r="Y12" s="323"/>
      <c r="Z12" s="323" t="str">
        <f>IF(AND('Mapa final'!$H$56="Muy Alta",'Mapa final'!$L$56="Moderado"),CONCATENATE("R",'Mapa final'!$A$56),"")</f>
        <v/>
      </c>
      <c r="AA12" s="324"/>
      <c r="AB12" s="328" t="str">
        <f ca="1">IF(AND('Mapa final'!$H$44="Muy Alta",'Mapa final'!$L$44="Mayor"),CONCATENATE("R",'Mapa final'!$A$44),"")</f>
        <v/>
      </c>
      <c r="AC12" s="325"/>
      <c r="AD12" s="323" t="str">
        <f>IF(AND('Mapa final'!$H$50="Muy Alta",'Mapa final'!$L$50="Mayor"),CONCATENATE("R",'Mapa final'!$A$50),"")</f>
        <v/>
      </c>
      <c r="AE12" s="323"/>
      <c r="AF12" s="323" t="str">
        <f>IF(AND('Mapa final'!$H$56="Muy Alta",'Mapa final'!$L$56="Mayor"),CONCATENATE("R",'Mapa final'!$A$56),"")</f>
        <v/>
      </c>
      <c r="AG12" s="324"/>
      <c r="AH12" s="336" t="str">
        <f ca="1">IF(AND('Mapa final'!$H$44="Muy Alta",'Mapa final'!$L$44="Catastrófico"),CONCATENATE("R",'Mapa final'!$A$44),"")</f>
        <v/>
      </c>
      <c r="AI12" s="337"/>
      <c r="AJ12" s="337" t="str">
        <f>IF(AND('Mapa final'!$H$50="Muy Alta",'Mapa final'!$L$50="Catastrófico"),CONCATENATE("R",'Mapa final'!$A$50),"")</f>
        <v/>
      </c>
      <c r="AK12" s="337"/>
      <c r="AL12" s="337" t="str">
        <f>IF(AND('Mapa final'!$H$56="Muy Alta",'Mapa final'!$L$56="Catastrófico"),CONCATENATE("R",'Mapa final'!$A$56),"")</f>
        <v/>
      </c>
      <c r="AM12" s="338"/>
      <c r="AN12" s="84"/>
      <c r="AO12" s="281"/>
      <c r="AP12" s="282"/>
      <c r="AQ12" s="282"/>
      <c r="AR12" s="282"/>
      <c r="AS12" s="282"/>
      <c r="AT12" s="283"/>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45">
      <c r="A13" s="84"/>
      <c r="B13" s="276"/>
      <c r="C13" s="276"/>
      <c r="D13" s="277"/>
      <c r="E13" s="320"/>
      <c r="F13" s="321"/>
      <c r="G13" s="321"/>
      <c r="H13" s="321"/>
      <c r="I13" s="322"/>
      <c r="J13" s="328"/>
      <c r="K13" s="325"/>
      <c r="L13" s="325"/>
      <c r="M13" s="325"/>
      <c r="N13" s="325"/>
      <c r="O13" s="324"/>
      <c r="P13" s="328"/>
      <c r="Q13" s="325"/>
      <c r="R13" s="325"/>
      <c r="S13" s="325"/>
      <c r="T13" s="325"/>
      <c r="U13" s="324"/>
      <c r="V13" s="328"/>
      <c r="W13" s="325"/>
      <c r="X13" s="325"/>
      <c r="Y13" s="325"/>
      <c r="Z13" s="325"/>
      <c r="AA13" s="324"/>
      <c r="AB13" s="328"/>
      <c r="AC13" s="325"/>
      <c r="AD13" s="325"/>
      <c r="AE13" s="325"/>
      <c r="AF13" s="325"/>
      <c r="AG13" s="324"/>
      <c r="AH13" s="339"/>
      <c r="AI13" s="340"/>
      <c r="AJ13" s="340"/>
      <c r="AK13" s="340"/>
      <c r="AL13" s="340"/>
      <c r="AM13" s="341"/>
      <c r="AN13" s="84"/>
      <c r="AO13" s="284"/>
      <c r="AP13" s="285"/>
      <c r="AQ13" s="285"/>
      <c r="AR13" s="285"/>
      <c r="AS13" s="285"/>
      <c r="AT13" s="286"/>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4">
      <c r="A14" s="84"/>
      <c r="B14" s="276"/>
      <c r="C14" s="276"/>
      <c r="D14" s="277"/>
      <c r="E14" s="314" t="s">
        <v>115</v>
      </c>
      <c r="F14" s="315"/>
      <c r="G14" s="315"/>
      <c r="H14" s="315"/>
      <c r="I14" s="315"/>
      <c r="J14" s="351" t="str">
        <f>IF(AND('Mapa final'!$H$10="Alta",'Mapa final'!$L$10="Leve"),CONCATENATE("R",'Mapa final'!$A$10),"")</f>
        <v/>
      </c>
      <c r="K14" s="352"/>
      <c r="L14" s="352" t="str">
        <f>IF(AND('Mapa final'!$H$11="Alta",'Mapa final'!$L$11="Leve"),CONCATENATE("R",'Mapa final'!$A$11),"")</f>
        <v/>
      </c>
      <c r="M14" s="352"/>
      <c r="N14" s="352" t="e">
        <f>IF(AND('Mapa final'!#REF!="Alta",'Mapa final'!#REF!="Leve"),CONCATENATE("R",'Mapa final'!#REF!),"")</f>
        <v>#REF!</v>
      </c>
      <c r="O14" s="353"/>
      <c r="P14" s="351" t="str">
        <f>IF(AND('Mapa final'!$H$10="Alta",'Mapa final'!$L$10="Menor"),CONCATENATE("R",'Mapa final'!$A$10),"")</f>
        <v/>
      </c>
      <c r="Q14" s="352"/>
      <c r="R14" s="352" t="str">
        <f>IF(AND('Mapa final'!$H$11="Alta",'Mapa final'!$L$11="Menor"),CONCATENATE("R",'Mapa final'!$A$11),"")</f>
        <v/>
      </c>
      <c r="S14" s="352"/>
      <c r="T14" s="352" t="e">
        <f>IF(AND('Mapa final'!#REF!="Alta",'Mapa final'!#REF!="Menor"),CONCATENATE("R",'Mapa final'!#REF!),"")</f>
        <v>#REF!</v>
      </c>
      <c r="U14" s="353"/>
      <c r="V14" s="326" t="str">
        <f>IF(AND('Mapa final'!$H$10="Alta",'Mapa final'!$L$10="Moderado"),CONCATENATE("R",'Mapa final'!$A$10),"")</f>
        <v/>
      </c>
      <c r="W14" s="327"/>
      <c r="X14" s="327" t="str">
        <f>IF(AND('Mapa final'!$H$11="Alta",'Mapa final'!$L$11="Moderado"),CONCATENATE("R",'Mapa final'!$A$11),"")</f>
        <v>R2</v>
      </c>
      <c r="Y14" s="327"/>
      <c r="Z14" s="327" t="e">
        <f>IF(AND('Mapa final'!#REF!="Alta",'Mapa final'!#REF!="Moderado"),CONCATENATE("R",'Mapa final'!#REF!),"")</f>
        <v>#REF!</v>
      </c>
      <c r="AA14" s="329"/>
      <c r="AB14" s="326" t="str">
        <f>IF(AND('Mapa final'!$H$10="Alta",'Mapa final'!$L$10="Mayor"),CONCATENATE("R",'Mapa final'!$A$10),"")</f>
        <v/>
      </c>
      <c r="AC14" s="327"/>
      <c r="AD14" s="327" t="str">
        <f>IF(AND('Mapa final'!$H$11="Alta",'Mapa final'!$L$11="Mayor"),CONCATENATE("R",'Mapa final'!$A$11),"")</f>
        <v/>
      </c>
      <c r="AE14" s="327"/>
      <c r="AF14" s="327" t="e">
        <f>IF(AND('Mapa final'!#REF!="Alta",'Mapa final'!#REF!="Mayor"),CONCATENATE("R",'Mapa final'!#REF!),"")</f>
        <v>#REF!</v>
      </c>
      <c r="AG14" s="329"/>
      <c r="AH14" s="342" t="str">
        <f>IF(AND('Mapa final'!$H$10="Alta",'Mapa final'!$L$10="Catastrófico"),CONCATENATE("R",'Mapa final'!$A$10),"")</f>
        <v/>
      </c>
      <c r="AI14" s="343"/>
      <c r="AJ14" s="343" t="str">
        <f>IF(AND('Mapa final'!$H$11="Alta",'Mapa final'!$L$11="Catastrófico"),CONCATENATE("R",'Mapa final'!$A$11),"")</f>
        <v/>
      </c>
      <c r="AK14" s="343"/>
      <c r="AL14" s="343" t="e">
        <f>IF(AND('Mapa final'!#REF!="Alta",'Mapa final'!#REF!="Catastrófico"),CONCATENATE("R",'Mapa final'!#REF!),"")</f>
        <v>#REF!</v>
      </c>
      <c r="AM14" s="344"/>
      <c r="AN14" s="84"/>
      <c r="AO14" s="287" t="s">
        <v>80</v>
      </c>
      <c r="AP14" s="288"/>
      <c r="AQ14" s="288"/>
      <c r="AR14" s="288"/>
      <c r="AS14" s="288"/>
      <c r="AT14" s="28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4">
      <c r="A15" s="84"/>
      <c r="B15" s="276"/>
      <c r="C15" s="276"/>
      <c r="D15" s="277"/>
      <c r="E15" s="317"/>
      <c r="F15" s="318"/>
      <c r="G15" s="318"/>
      <c r="H15" s="318"/>
      <c r="I15" s="331"/>
      <c r="J15" s="345"/>
      <c r="K15" s="346"/>
      <c r="L15" s="346"/>
      <c r="M15" s="346"/>
      <c r="N15" s="346"/>
      <c r="O15" s="347"/>
      <c r="P15" s="345"/>
      <c r="Q15" s="346"/>
      <c r="R15" s="346"/>
      <c r="S15" s="346"/>
      <c r="T15" s="346"/>
      <c r="U15" s="347"/>
      <c r="V15" s="328"/>
      <c r="W15" s="325"/>
      <c r="X15" s="325"/>
      <c r="Y15" s="325"/>
      <c r="Z15" s="325"/>
      <c r="AA15" s="324"/>
      <c r="AB15" s="328"/>
      <c r="AC15" s="325"/>
      <c r="AD15" s="325"/>
      <c r="AE15" s="325"/>
      <c r="AF15" s="325"/>
      <c r="AG15" s="324"/>
      <c r="AH15" s="336"/>
      <c r="AI15" s="337"/>
      <c r="AJ15" s="337"/>
      <c r="AK15" s="337"/>
      <c r="AL15" s="337"/>
      <c r="AM15" s="338"/>
      <c r="AN15" s="84"/>
      <c r="AO15" s="290"/>
      <c r="AP15" s="291"/>
      <c r="AQ15" s="291"/>
      <c r="AR15" s="291"/>
      <c r="AS15" s="291"/>
      <c r="AT15" s="29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4">
      <c r="A16" s="84"/>
      <c r="B16" s="276"/>
      <c r="C16" s="276"/>
      <c r="D16" s="277"/>
      <c r="E16" s="317"/>
      <c r="F16" s="318"/>
      <c r="G16" s="318"/>
      <c r="H16" s="318"/>
      <c r="I16" s="331"/>
      <c r="J16" s="345" t="str">
        <f>IF(AND('Mapa final'!$H$13="Alta",'Mapa final'!$L$13="Leve"),CONCATENATE("R",'Mapa final'!$A$13),"")</f>
        <v/>
      </c>
      <c r="K16" s="346"/>
      <c r="L16" s="346" t="str">
        <f ca="1">IF(AND('Mapa final'!$H$14="Alta",'Mapa final'!$L$14="Leve"),CONCATENATE("R",'Mapa final'!$A$14),"")</f>
        <v/>
      </c>
      <c r="M16" s="346"/>
      <c r="N16" s="346" t="str">
        <f ca="1">IF(AND('Mapa final'!$H$20="Alta",'Mapa final'!$L$20="Leve"),CONCATENATE("R",'Mapa final'!$A$20),"")</f>
        <v/>
      </c>
      <c r="O16" s="347"/>
      <c r="P16" s="345" t="str">
        <f>IF(AND('Mapa final'!$H$13="Alta",'Mapa final'!$L$13="Menor"),CONCATENATE("R",'Mapa final'!$A$13),"")</f>
        <v/>
      </c>
      <c r="Q16" s="346"/>
      <c r="R16" s="346" t="str">
        <f ca="1">IF(AND('Mapa final'!$H$14="Alta",'Mapa final'!$L$14="Menor"),CONCATENATE("R",'Mapa final'!$A$14),"")</f>
        <v/>
      </c>
      <c r="S16" s="346"/>
      <c r="T16" s="346" t="str">
        <f ca="1">IF(AND('Mapa final'!$H$20="Alta",'Mapa final'!$L$20="Menor"),CONCATENATE("R",'Mapa final'!$A$20),"")</f>
        <v/>
      </c>
      <c r="U16" s="347"/>
      <c r="V16" s="328" t="str">
        <f>IF(AND('Mapa final'!$H$13="Alta",'Mapa final'!$L$13="Moderado"),CONCATENATE("R",'Mapa final'!$A$13),"")</f>
        <v/>
      </c>
      <c r="W16" s="325"/>
      <c r="X16" s="323" t="str">
        <f ca="1">IF(AND('Mapa final'!$H$14="Alta",'Mapa final'!$L$14="Moderado"),CONCATENATE("R",'Mapa final'!$A$14),"")</f>
        <v/>
      </c>
      <c r="Y16" s="323"/>
      <c r="Z16" s="323" t="str">
        <f ca="1">IF(AND('Mapa final'!$H$20="Alta",'Mapa final'!$L$20="Moderado"),CONCATENATE("R",'Mapa final'!$A$20),"")</f>
        <v/>
      </c>
      <c r="AA16" s="324"/>
      <c r="AB16" s="328" t="str">
        <f>IF(AND('Mapa final'!$H$13="Alta",'Mapa final'!$L$13="Mayor"),CONCATENATE("R",'Mapa final'!$A$13),"")</f>
        <v>R4</v>
      </c>
      <c r="AC16" s="325"/>
      <c r="AD16" s="323" t="str">
        <f ca="1">IF(AND('Mapa final'!$H$14="Alta",'Mapa final'!$L$14="Mayor"),CONCATENATE("R",'Mapa final'!$A$14),"")</f>
        <v/>
      </c>
      <c r="AE16" s="323"/>
      <c r="AF16" s="323" t="str">
        <f ca="1">IF(AND('Mapa final'!$H$20="Alta",'Mapa final'!$L$20="Mayor"),CONCATENATE("R",'Mapa final'!$A$20),"")</f>
        <v/>
      </c>
      <c r="AG16" s="324"/>
      <c r="AH16" s="336" t="str">
        <f>IF(AND('Mapa final'!$H$13="Alta",'Mapa final'!$L$13="Catastrófico"),CONCATENATE("R",'Mapa final'!$A$13),"")</f>
        <v/>
      </c>
      <c r="AI16" s="337"/>
      <c r="AJ16" s="337" t="str">
        <f ca="1">IF(AND('Mapa final'!$H$14="Alta",'Mapa final'!$L$14="Catastrófico"),CONCATENATE("R",'Mapa final'!$A$14),"")</f>
        <v/>
      </c>
      <c r="AK16" s="337"/>
      <c r="AL16" s="337" t="str">
        <f ca="1">IF(AND('Mapa final'!$H$20="Alta",'Mapa final'!$L$20="Catastrófico"),CONCATENATE("R",'Mapa final'!$A$20),"")</f>
        <v/>
      </c>
      <c r="AM16" s="338"/>
      <c r="AN16" s="84"/>
      <c r="AO16" s="290"/>
      <c r="AP16" s="291"/>
      <c r="AQ16" s="291"/>
      <c r="AR16" s="291"/>
      <c r="AS16" s="291"/>
      <c r="AT16" s="292"/>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4">
      <c r="A17" s="84"/>
      <c r="B17" s="276"/>
      <c r="C17" s="276"/>
      <c r="D17" s="277"/>
      <c r="E17" s="317"/>
      <c r="F17" s="318"/>
      <c r="G17" s="318"/>
      <c r="H17" s="318"/>
      <c r="I17" s="331"/>
      <c r="J17" s="345"/>
      <c r="K17" s="346"/>
      <c r="L17" s="346"/>
      <c r="M17" s="346"/>
      <c r="N17" s="346"/>
      <c r="O17" s="347"/>
      <c r="P17" s="345"/>
      <c r="Q17" s="346"/>
      <c r="R17" s="346"/>
      <c r="S17" s="346"/>
      <c r="T17" s="346"/>
      <c r="U17" s="347"/>
      <c r="V17" s="328"/>
      <c r="W17" s="325"/>
      <c r="X17" s="323"/>
      <c r="Y17" s="323"/>
      <c r="Z17" s="323"/>
      <c r="AA17" s="324"/>
      <c r="AB17" s="328"/>
      <c r="AC17" s="325"/>
      <c r="AD17" s="323"/>
      <c r="AE17" s="323"/>
      <c r="AF17" s="323"/>
      <c r="AG17" s="324"/>
      <c r="AH17" s="336"/>
      <c r="AI17" s="337"/>
      <c r="AJ17" s="337"/>
      <c r="AK17" s="337"/>
      <c r="AL17" s="337"/>
      <c r="AM17" s="338"/>
      <c r="AN17" s="84"/>
      <c r="AO17" s="290"/>
      <c r="AP17" s="291"/>
      <c r="AQ17" s="291"/>
      <c r="AR17" s="291"/>
      <c r="AS17" s="291"/>
      <c r="AT17" s="292"/>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4">
      <c r="A18" s="84"/>
      <c r="B18" s="276"/>
      <c r="C18" s="276"/>
      <c r="D18" s="277"/>
      <c r="E18" s="317"/>
      <c r="F18" s="318"/>
      <c r="G18" s="318"/>
      <c r="H18" s="318"/>
      <c r="I18" s="331"/>
      <c r="J18" s="345" t="str">
        <f ca="1">IF(AND('Mapa final'!$H$26="Alta",'Mapa final'!$L$26="Leve"),CONCATENATE("R",'Mapa final'!$A$26),"")</f>
        <v/>
      </c>
      <c r="K18" s="346"/>
      <c r="L18" s="346" t="str">
        <f ca="1">IF(AND('Mapa final'!$H$32="Alta",'Mapa final'!$L$32="Leve"),CONCATENATE("R",'Mapa final'!$A$32),"")</f>
        <v/>
      </c>
      <c r="M18" s="346"/>
      <c r="N18" s="346" t="str">
        <f ca="1">IF(AND('Mapa final'!$H$38="Alta",'Mapa final'!$L$38="Leve"),CONCATENATE("R",'Mapa final'!$A$38),"")</f>
        <v/>
      </c>
      <c r="O18" s="347"/>
      <c r="P18" s="345" t="str">
        <f ca="1">IF(AND('Mapa final'!$H$26="Alta",'Mapa final'!$L$26="Menor"),CONCATENATE("R",'Mapa final'!$A$26),"")</f>
        <v/>
      </c>
      <c r="Q18" s="346"/>
      <c r="R18" s="346" t="str">
        <f ca="1">IF(AND('Mapa final'!$H$32="Alta",'Mapa final'!$L$32="Menor"),CONCATENATE("R",'Mapa final'!$A$32),"")</f>
        <v/>
      </c>
      <c r="S18" s="346"/>
      <c r="T18" s="346" t="str">
        <f ca="1">IF(AND('Mapa final'!$H$38="Alta",'Mapa final'!$L$38="Menor"),CONCATENATE("R",'Mapa final'!$A$38),"")</f>
        <v/>
      </c>
      <c r="U18" s="347"/>
      <c r="V18" s="328" t="str">
        <f ca="1">IF(AND('Mapa final'!$H$26="Alta",'Mapa final'!$L$26="Moderado"),CONCATENATE("R",'Mapa final'!$A$26),"")</f>
        <v/>
      </c>
      <c r="W18" s="325"/>
      <c r="X18" s="323" t="str">
        <f ca="1">IF(AND('Mapa final'!$H$32="Alta",'Mapa final'!$L$32="Moderado"),CONCATENATE("R",'Mapa final'!$A$32),"")</f>
        <v/>
      </c>
      <c r="Y18" s="323"/>
      <c r="Z18" s="323" t="str">
        <f ca="1">IF(AND('Mapa final'!$H$38="Alta",'Mapa final'!$L$38="Moderado"),CONCATENATE("R",'Mapa final'!$A$38),"")</f>
        <v/>
      </c>
      <c r="AA18" s="324"/>
      <c r="AB18" s="328" t="str">
        <f ca="1">IF(AND('Mapa final'!$H$26="Alta",'Mapa final'!$L$26="Mayor"),CONCATENATE("R",'Mapa final'!$A$26),"")</f>
        <v/>
      </c>
      <c r="AC18" s="325"/>
      <c r="AD18" s="323" t="str">
        <f ca="1">IF(AND('Mapa final'!$H$32="Alta",'Mapa final'!$L$32="Mayor"),CONCATENATE("R",'Mapa final'!$A$32),"")</f>
        <v/>
      </c>
      <c r="AE18" s="323"/>
      <c r="AF18" s="323" t="str">
        <f ca="1">IF(AND('Mapa final'!$H$38="Alta",'Mapa final'!$L$38="Mayor"),CONCATENATE("R",'Mapa final'!$A$38),"")</f>
        <v/>
      </c>
      <c r="AG18" s="324"/>
      <c r="AH18" s="336" t="str">
        <f ca="1">IF(AND('Mapa final'!$H$26="Alta",'Mapa final'!$L$26="Catastrófico"),CONCATENATE("R",'Mapa final'!$A$26),"")</f>
        <v/>
      </c>
      <c r="AI18" s="337"/>
      <c r="AJ18" s="337" t="str">
        <f ca="1">IF(AND('Mapa final'!$H$32="Alta",'Mapa final'!$L$32="Catastrófico"),CONCATENATE("R",'Mapa final'!$A$32),"")</f>
        <v/>
      </c>
      <c r="AK18" s="337"/>
      <c r="AL18" s="337" t="str">
        <f ca="1">IF(AND('Mapa final'!$H$38="Alta",'Mapa final'!$L$38="Catastrófico"),CONCATENATE("R",'Mapa final'!$A$38),"")</f>
        <v/>
      </c>
      <c r="AM18" s="338"/>
      <c r="AN18" s="84"/>
      <c r="AO18" s="290"/>
      <c r="AP18" s="291"/>
      <c r="AQ18" s="291"/>
      <c r="AR18" s="291"/>
      <c r="AS18" s="291"/>
      <c r="AT18" s="292"/>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4">
      <c r="A19" s="84"/>
      <c r="B19" s="276"/>
      <c r="C19" s="276"/>
      <c r="D19" s="277"/>
      <c r="E19" s="317"/>
      <c r="F19" s="318"/>
      <c r="G19" s="318"/>
      <c r="H19" s="318"/>
      <c r="I19" s="331"/>
      <c r="J19" s="345"/>
      <c r="K19" s="346"/>
      <c r="L19" s="346"/>
      <c r="M19" s="346"/>
      <c r="N19" s="346"/>
      <c r="O19" s="347"/>
      <c r="P19" s="345"/>
      <c r="Q19" s="346"/>
      <c r="R19" s="346"/>
      <c r="S19" s="346"/>
      <c r="T19" s="346"/>
      <c r="U19" s="347"/>
      <c r="V19" s="328"/>
      <c r="W19" s="325"/>
      <c r="X19" s="323"/>
      <c r="Y19" s="323"/>
      <c r="Z19" s="323"/>
      <c r="AA19" s="324"/>
      <c r="AB19" s="328"/>
      <c r="AC19" s="325"/>
      <c r="AD19" s="323"/>
      <c r="AE19" s="323"/>
      <c r="AF19" s="323"/>
      <c r="AG19" s="324"/>
      <c r="AH19" s="336"/>
      <c r="AI19" s="337"/>
      <c r="AJ19" s="337"/>
      <c r="AK19" s="337"/>
      <c r="AL19" s="337"/>
      <c r="AM19" s="338"/>
      <c r="AN19" s="84"/>
      <c r="AO19" s="290"/>
      <c r="AP19" s="291"/>
      <c r="AQ19" s="291"/>
      <c r="AR19" s="291"/>
      <c r="AS19" s="291"/>
      <c r="AT19" s="292"/>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4">
      <c r="A20" s="84"/>
      <c r="B20" s="276"/>
      <c r="C20" s="276"/>
      <c r="D20" s="277"/>
      <c r="E20" s="317"/>
      <c r="F20" s="318"/>
      <c r="G20" s="318"/>
      <c r="H20" s="318"/>
      <c r="I20" s="331"/>
      <c r="J20" s="345" t="str">
        <f ca="1">IF(AND('Mapa final'!$H$44="Alta",'Mapa final'!$L$44="Leve"),CONCATENATE("R",'Mapa final'!$A$44),"")</f>
        <v/>
      </c>
      <c r="K20" s="346"/>
      <c r="L20" s="346" t="str">
        <f>IF(AND('Mapa final'!$H$50="Alta",'Mapa final'!$L$50="Leve"),CONCATENATE("R",'Mapa final'!$A$50),"")</f>
        <v/>
      </c>
      <c r="M20" s="346"/>
      <c r="N20" s="346" t="str">
        <f>IF(AND('Mapa final'!$H$56="Alta",'Mapa final'!$L$56="Leve"),CONCATENATE("R",'Mapa final'!$A$56),"")</f>
        <v/>
      </c>
      <c r="O20" s="347"/>
      <c r="P20" s="345" t="str">
        <f ca="1">IF(AND('Mapa final'!$H$44="Alta",'Mapa final'!$L$44="Menor"),CONCATENATE("R",'Mapa final'!$A$44),"")</f>
        <v/>
      </c>
      <c r="Q20" s="346"/>
      <c r="R20" s="346" t="str">
        <f>IF(AND('Mapa final'!$H$50="Alta",'Mapa final'!$L$50="Menor"),CONCATENATE("R",'Mapa final'!$A$50),"")</f>
        <v/>
      </c>
      <c r="S20" s="346"/>
      <c r="T20" s="346" t="str">
        <f>IF(AND('Mapa final'!$H$56="Alta",'Mapa final'!$L$56="Menor"),CONCATENATE("R",'Mapa final'!$A$56),"")</f>
        <v/>
      </c>
      <c r="U20" s="347"/>
      <c r="V20" s="328" t="str">
        <f ca="1">IF(AND('Mapa final'!$H$44="Alta",'Mapa final'!$L$44="Moderado"),CONCATENATE("R",'Mapa final'!$A$44),"")</f>
        <v/>
      </c>
      <c r="W20" s="325"/>
      <c r="X20" s="323" t="str">
        <f>IF(AND('Mapa final'!$H$50="Alta",'Mapa final'!$L$50="Moderado"),CONCATENATE("R",'Mapa final'!$A$50),"")</f>
        <v/>
      </c>
      <c r="Y20" s="323"/>
      <c r="Z20" s="323" t="str">
        <f>IF(AND('Mapa final'!$H$56="Alta",'Mapa final'!$L$56="Moderado"),CONCATENATE("R",'Mapa final'!$A$56),"")</f>
        <v/>
      </c>
      <c r="AA20" s="324"/>
      <c r="AB20" s="328" t="str">
        <f ca="1">IF(AND('Mapa final'!$H$44="Alta",'Mapa final'!$L$44="Mayor"),CONCATENATE("R",'Mapa final'!$A$44),"")</f>
        <v/>
      </c>
      <c r="AC20" s="325"/>
      <c r="AD20" s="323" t="str">
        <f>IF(AND('Mapa final'!$H$50="Alta",'Mapa final'!$L$50="Mayor"),CONCATENATE("R",'Mapa final'!$A$50),"")</f>
        <v/>
      </c>
      <c r="AE20" s="323"/>
      <c r="AF20" s="323" t="str">
        <f>IF(AND('Mapa final'!$H$56="Alta",'Mapa final'!$L$56="Mayor"),CONCATENATE("R",'Mapa final'!$A$56),"")</f>
        <v/>
      </c>
      <c r="AG20" s="324"/>
      <c r="AH20" s="336" t="str">
        <f ca="1">IF(AND('Mapa final'!$H$44="Alta",'Mapa final'!$L$44="Catastrófico"),CONCATENATE("R",'Mapa final'!$A$44),"")</f>
        <v/>
      </c>
      <c r="AI20" s="337"/>
      <c r="AJ20" s="337" t="str">
        <f>IF(AND('Mapa final'!$H$50="Alta",'Mapa final'!$L$50="Catastrófico"),CONCATENATE("R",'Mapa final'!$A$50),"")</f>
        <v/>
      </c>
      <c r="AK20" s="337"/>
      <c r="AL20" s="337" t="str">
        <f>IF(AND('Mapa final'!$H$56="Alta",'Mapa final'!$L$56="Catastrófico"),CONCATENATE("R",'Mapa final'!$A$56),"")</f>
        <v/>
      </c>
      <c r="AM20" s="338"/>
      <c r="AN20" s="84"/>
      <c r="AO20" s="290"/>
      <c r="AP20" s="291"/>
      <c r="AQ20" s="291"/>
      <c r="AR20" s="291"/>
      <c r="AS20" s="291"/>
      <c r="AT20" s="292"/>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45">
      <c r="A21" s="84"/>
      <c r="B21" s="276"/>
      <c r="C21" s="276"/>
      <c r="D21" s="277"/>
      <c r="E21" s="320"/>
      <c r="F21" s="321"/>
      <c r="G21" s="321"/>
      <c r="H21" s="321"/>
      <c r="I21" s="321"/>
      <c r="J21" s="348"/>
      <c r="K21" s="349"/>
      <c r="L21" s="349"/>
      <c r="M21" s="349"/>
      <c r="N21" s="349"/>
      <c r="O21" s="350"/>
      <c r="P21" s="348"/>
      <c r="Q21" s="349"/>
      <c r="R21" s="349"/>
      <c r="S21" s="349"/>
      <c r="T21" s="349"/>
      <c r="U21" s="350"/>
      <c r="V21" s="333"/>
      <c r="W21" s="334"/>
      <c r="X21" s="334"/>
      <c r="Y21" s="334"/>
      <c r="Z21" s="334"/>
      <c r="AA21" s="335"/>
      <c r="AB21" s="333"/>
      <c r="AC21" s="334"/>
      <c r="AD21" s="334"/>
      <c r="AE21" s="334"/>
      <c r="AF21" s="334"/>
      <c r="AG21" s="335"/>
      <c r="AH21" s="339"/>
      <c r="AI21" s="340"/>
      <c r="AJ21" s="340"/>
      <c r="AK21" s="340"/>
      <c r="AL21" s="340"/>
      <c r="AM21" s="341"/>
      <c r="AN21" s="84"/>
      <c r="AO21" s="293"/>
      <c r="AP21" s="294"/>
      <c r="AQ21" s="294"/>
      <c r="AR21" s="294"/>
      <c r="AS21" s="294"/>
      <c r="AT21" s="295"/>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4">
      <c r="A22" s="84"/>
      <c r="B22" s="276"/>
      <c r="C22" s="276"/>
      <c r="D22" s="277"/>
      <c r="E22" s="314" t="s">
        <v>117</v>
      </c>
      <c r="F22" s="315"/>
      <c r="G22" s="315"/>
      <c r="H22" s="315"/>
      <c r="I22" s="316"/>
      <c r="J22" s="351" t="str">
        <f>IF(AND('Mapa final'!$H$10="Media",'Mapa final'!$L$10="Leve"),CONCATENATE("R",'Mapa final'!$A$10),"")</f>
        <v/>
      </c>
      <c r="K22" s="352"/>
      <c r="L22" s="352" t="str">
        <f>IF(AND('Mapa final'!$H$11="Media",'Mapa final'!$L$11="Leve"),CONCATENATE("R",'Mapa final'!$A$11),"")</f>
        <v/>
      </c>
      <c r="M22" s="352"/>
      <c r="N22" s="352" t="e">
        <f>IF(AND('Mapa final'!#REF!="Media",'Mapa final'!#REF!="Leve"),CONCATENATE("R",'Mapa final'!#REF!),"")</f>
        <v>#REF!</v>
      </c>
      <c r="O22" s="353"/>
      <c r="P22" s="351" t="str">
        <f>IF(AND('Mapa final'!$H$10="Media",'Mapa final'!$L$10="Menor"),CONCATENATE("R",'Mapa final'!$A$10),"")</f>
        <v/>
      </c>
      <c r="Q22" s="352"/>
      <c r="R22" s="352" t="str">
        <f>IF(AND('Mapa final'!$H$11="Media",'Mapa final'!$L$11="Menor"),CONCATENATE("R",'Mapa final'!$A$11),"")</f>
        <v/>
      </c>
      <c r="S22" s="352"/>
      <c r="T22" s="352" t="e">
        <f>IF(AND('Mapa final'!#REF!="Media",'Mapa final'!#REF!="Menor"),CONCATENATE("R",'Mapa final'!#REF!),"")</f>
        <v>#REF!</v>
      </c>
      <c r="U22" s="353"/>
      <c r="V22" s="351" t="str">
        <f>IF(AND('Mapa final'!$H$10="Media",'Mapa final'!$L$10="Moderado"),CONCATENATE("R",'Mapa final'!$A$10),"")</f>
        <v>R1</v>
      </c>
      <c r="W22" s="352"/>
      <c r="X22" s="352" t="str">
        <f>IF(AND('Mapa final'!$H$11="Media",'Mapa final'!$L$11="Moderado"),CONCATENATE("R",'Mapa final'!$A$11),"")</f>
        <v/>
      </c>
      <c r="Y22" s="352"/>
      <c r="Z22" s="352" t="e">
        <f>IF(AND('Mapa final'!#REF!="Media",'Mapa final'!#REF!="Moderado"),CONCATENATE("R",'Mapa final'!#REF!),"")</f>
        <v>#REF!</v>
      </c>
      <c r="AA22" s="353"/>
      <c r="AB22" s="326" t="str">
        <f>IF(AND('Mapa final'!$H$10="Media",'Mapa final'!$L$10="Mayor"),CONCATENATE("R",'Mapa final'!$A$10),"")</f>
        <v/>
      </c>
      <c r="AC22" s="327"/>
      <c r="AD22" s="327" t="str">
        <f>IF(AND('Mapa final'!$H$11="Media",'Mapa final'!$L$11="Mayor"),CONCATENATE("R",'Mapa final'!$A$11),"")</f>
        <v/>
      </c>
      <c r="AE22" s="327"/>
      <c r="AF22" s="327" t="e">
        <f>IF(AND('Mapa final'!#REF!="Media",'Mapa final'!#REF!="Mayor"),CONCATENATE("R",'Mapa final'!#REF!),"")</f>
        <v>#REF!</v>
      </c>
      <c r="AG22" s="329"/>
      <c r="AH22" s="342" t="str">
        <f>IF(AND('Mapa final'!$H$10="Media",'Mapa final'!$L$10="Catastrófico"),CONCATENATE("R",'Mapa final'!$A$10),"")</f>
        <v/>
      </c>
      <c r="AI22" s="343"/>
      <c r="AJ22" s="343" t="str">
        <f>IF(AND('Mapa final'!$H$11="Media",'Mapa final'!$L$11="Catastrófico"),CONCATENATE("R",'Mapa final'!$A$11),"")</f>
        <v/>
      </c>
      <c r="AK22" s="343"/>
      <c r="AL22" s="343" t="e">
        <f>IF(AND('Mapa final'!#REF!="Media",'Mapa final'!#REF!="Catastrófico"),CONCATENATE("R",'Mapa final'!#REF!),"")</f>
        <v>#REF!</v>
      </c>
      <c r="AM22" s="344"/>
      <c r="AN22" s="84"/>
      <c r="AO22" s="296" t="s">
        <v>81</v>
      </c>
      <c r="AP22" s="297"/>
      <c r="AQ22" s="297"/>
      <c r="AR22" s="297"/>
      <c r="AS22" s="297"/>
      <c r="AT22" s="29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4">
      <c r="A23" s="84"/>
      <c r="B23" s="276"/>
      <c r="C23" s="276"/>
      <c r="D23" s="277"/>
      <c r="E23" s="317"/>
      <c r="F23" s="318"/>
      <c r="G23" s="318"/>
      <c r="H23" s="318"/>
      <c r="I23" s="319"/>
      <c r="J23" s="345"/>
      <c r="K23" s="346"/>
      <c r="L23" s="346"/>
      <c r="M23" s="346"/>
      <c r="N23" s="346"/>
      <c r="O23" s="347"/>
      <c r="P23" s="345"/>
      <c r="Q23" s="346"/>
      <c r="R23" s="346"/>
      <c r="S23" s="346"/>
      <c r="T23" s="346"/>
      <c r="U23" s="347"/>
      <c r="V23" s="345"/>
      <c r="W23" s="346"/>
      <c r="X23" s="346"/>
      <c r="Y23" s="346"/>
      <c r="Z23" s="346"/>
      <c r="AA23" s="347"/>
      <c r="AB23" s="328"/>
      <c r="AC23" s="325"/>
      <c r="AD23" s="325"/>
      <c r="AE23" s="325"/>
      <c r="AF23" s="325"/>
      <c r="AG23" s="324"/>
      <c r="AH23" s="336"/>
      <c r="AI23" s="337"/>
      <c r="AJ23" s="337"/>
      <c r="AK23" s="337"/>
      <c r="AL23" s="337"/>
      <c r="AM23" s="338"/>
      <c r="AN23" s="84"/>
      <c r="AO23" s="299"/>
      <c r="AP23" s="300"/>
      <c r="AQ23" s="300"/>
      <c r="AR23" s="300"/>
      <c r="AS23" s="300"/>
      <c r="AT23" s="30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4">
      <c r="A24" s="84"/>
      <c r="B24" s="276"/>
      <c r="C24" s="276"/>
      <c r="D24" s="277"/>
      <c r="E24" s="317"/>
      <c r="F24" s="318"/>
      <c r="G24" s="318"/>
      <c r="H24" s="318"/>
      <c r="I24" s="319"/>
      <c r="J24" s="345" t="str">
        <f>IF(AND('Mapa final'!$H$13="Media",'Mapa final'!$L$13="Leve"),CONCATENATE("R",'Mapa final'!$A$13),"")</f>
        <v/>
      </c>
      <c r="K24" s="346"/>
      <c r="L24" s="346" t="str">
        <f ca="1">IF(AND('Mapa final'!$H$14="Media",'Mapa final'!$L$14="Leve"),CONCATENATE("R",'Mapa final'!$A$14),"")</f>
        <v/>
      </c>
      <c r="M24" s="346"/>
      <c r="N24" s="346" t="str">
        <f ca="1">IF(AND('Mapa final'!$H$20="Media",'Mapa final'!$L$20="Leve"),CONCATENATE("R",'Mapa final'!$A$20),"")</f>
        <v/>
      </c>
      <c r="O24" s="347"/>
      <c r="P24" s="345" t="str">
        <f>IF(AND('Mapa final'!$H$13="Media",'Mapa final'!$L$13="Menor"),CONCATENATE("R",'Mapa final'!$A$13),"")</f>
        <v/>
      </c>
      <c r="Q24" s="346"/>
      <c r="R24" s="346" t="str">
        <f ca="1">IF(AND('Mapa final'!$H$14="Media",'Mapa final'!$L$14="Menor"),CONCATENATE("R",'Mapa final'!$A$14),"")</f>
        <v/>
      </c>
      <c r="S24" s="346"/>
      <c r="T24" s="346" t="str">
        <f ca="1">IF(AND('Mapa final'!$H$20="Media",'Mapa final'!$L$20="Menor"),CONCATENATE("R",'Mapa final'!$A$20),"")</f>
        <v/>
      </c>
      <c r="U24" s="347"/>
      <c r="V24" s="345" t="str">
        <f>IF(AND('Mapa final'!$H$13="Media",'Mapa final'!$L$13="Moderado"),CONCATENATE("R",'Mapa final'!$A$13),"")</f>
        <v/>
      </c>
      <c r="W24" s="346"/>
      <c r="X24" s="346" t="str">
        <f ca="1">IF(AND('Mapa final'!$H$14="Media",'Mapa final'!$L$14="Moderado"),CONCATENATE("R",'Mapa final'!$A$14),"")</f>
        <v/>
      </c>
      <c r="Y24" s="346"/>
      <c r="Z24" s="346" t="str">
        <f ca="1">IF(AND('Mapa final'!$H$20="Media",'Mapa final'!$L$20="Moderado"),CONCATENATE("R",'Mapa final'!$A$20),"")</f>
        <v/>
      </c>
      <c r="AA24" s="347"/>
      <c r="AB24" s="328" t="str">
        <f>IF(AND('Mapa final'!$H$13="Media",'Mapa final'!$L$13="Mayor"),CONCATENATE("R",'Mapa final'!$A$13),"")</f>
        <v/>
      </c>
      <c r="AC24" s="325"/>
      <c r="AD24" s="323" t="str">
        <f ca="1">IF(AND('Mapa final'!$H$14="Media",'Mapa final'!$L$14="Mayor"),CONCATENATE("R",'Mapa final'!$A$14),"")</f>
        <v/>
      </c>
      <c r="AE24" s="323"/>
      <c r="AF24" s="323" t="str">
        <f ca="1">IF(AND('Mapa final'!$H$20="Media",'Mapa final'!$L$20="Mayor"),CONCATENATE("R",'Mapa final'!$A$20),"")</f>
        <v/>
      </c>
      <c r="AG24" s="324"/>
      <c r="AH24" s="336" t="str">
        <f>IF(AND('Mapa final'!$H$13="Media",'Mapa final'!$L$13="Catastrófico"),CONCATENATE("R",'Mapa final'!$A$13),"")</f>
        <v/>
      </c>
      <c r="AI24" s="337"/>
      <c r="AJ24" s="337" t="str">
        <f ca="1">IF(AND('Mapa final'!$H$14="Media",'Mapa final'!$L$14="Catastrófico"),CONCATENATE("R",'Mapa final'!$A$14),"")</f>
        <v/>
      </c>
      <c r="AK24" s="337"/>
      <c r="AL24" s="337" t="str">
        <f ca="1">IF(AND('Mapa final'!$H$20="Media",'Mapa final'!$L$20="Catastrófico"),CONCATENATE("R",'Mapa final'!$A$20),"")</f>
        <v/>
      </c>
      <c r="AM24" s="338"/>
      <c r="AN24" s="84"/>
      <c r="AO24" s="299"/>
      <c r="AP24" s="300"/>
      <c r="AQ24" s="300"/>
      <c r="AR24" s="300"/>
      <c r="AS24" s="300"/>
      <c r="AT24" s="30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4">
      <c r="A25" s="84"/>
      <c r="B25" s="276"/>
      <c r="C25" s="276"/>
      <c r="D25" s="277"/>
      <c r="E25" s="317"/>
      <c r="F25" s="318"/>
      <c r="G25" s="318"/>
      <c r="H25" s="318"/>
      <c r="I25" s="319"/>
      <c r="J25" s="345"/>
      <c r="K25" s="346"/>
      <c r="L25" s="346"/>
      <c r="M25" s="346"/>
      <c r="N25" s="346"/>
      <c r="O25" s="347"/>
      <c r="P25" s="345"/>
      <c r="Q25" s="346"/>
      <c r="R25" s="346"/>
      <c r="S25" s="346"/>
      <c r="T25" s="346"/>
      <c r="U25" s="347"/>
      <c r="V25" s="345"/>
      <c r="W25" s="346"/>
      <c r="X25" s="346"/>
      <c r="Y25" s="346"/>
      <c r="Z25" s="346"/>
      <c r="AA25" s="347"/>
      <c r="AB25" s="328"/>
      <c r="AC25" s="325"/>
      <c r="AD25" s="323"/>
      <c r="AE25" s="323"/>
      <c r="AF25" s="323"/>
      <c r="AG25" s="324"/>
      <c r="AH25" s="336"/>
      <c r="AI25" s="337"/>
      <c r="AJ25" s="337"/>
      <c r="AK25" s="337"/>
      <c r="AL25" s="337"/>
      <c r="AM25" s="338"/>
      <c r="AN25" s="84"/>
      <c r="AO25" s="299"/>
      <c r="AP25" s="300"/>
      <c r="AQ25" s="300"/>
      <c r="AR25" s="300"/>
      <c r="AS25" s="300"/>
      <c r="AT25" s="30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4">
      <c r="A26" s="84"/>
      <c r="B26" s="276"/>
      <c r="C26" s="276"/>
      <c r="D26" s="277"/>
      <c r="E26" s="317"/>
      <c r="F26" s="318"/>
      <c r="G26" s="318"/>
      <c r="H26" s="318"/>
      <c r="I26" s="319"/>
      <c r="J26" s="345" t="str">
        <f ca="1">IF(AND('Mapa final'!$H$26="Media",'Mapa final'!$L$26="Leve"),CONCATENATE("R",'Mapa final'!$A$26),"")</f>
        <v/>
      </c>
      <c r="K26" s="346"/>
      <c r="L26" s="346" t="str">
        <f ca="1">IF(AND('Mapa final'!$H$32="Media",'Mapa final'!$L$32="Leve"),CONCATENATE("R",'Mapa final'!$A$32),"")</f>
        <v/>
      </c>
      <c r="M26" s="346"/>
      <c r="N26" s="346" t="str">
        <f ca="1">IF(AND('Mapa final'!$H$38="Media",'Mapa final'!$L$38="Leve"),CONCATENATE("R",'Mapa final'!$A$38),"")</f>
        <v/>
      </c>
      <c r="O26" s="347"/>
      <c r="P26" s="345" t="str">
        <f ca="1">IF(AND('Mapa final'!$H$26="Media",'Mapa final'!$L$26="Menor"),CONCATENATE("R",'Mapa final'!$A$26),"")</f>
        <v/>
      </c>
      <c r="Q26" s="346"/>
      <c r="R26" s="346" t="str">
        <f ca="1">IF(AND('Mapa final'!$H$32="Media",'Mapa final'!$L$32="Menor"),CONCATENATE("R",'Mapa final'!$A$32),"")</f>
        <v/>
      </c>
      <c r="S26" s="346"/>
      <c r="T26" s="346" t="str">
        <f ca="1">IF(AND('Mapa final'!$H$38="Media",'Mapa final'!$L$38="Menor"),CONCATENATE("R",'Mapa final'!$A$38),"")</f>
        <v/>
      </c>
      <c r="U26" s="347"/>
      <c r="V26" s="345" t="str">
        <f ca="1">IF(AND('Mapa final'!$H$26="Media",'Mapa final'!$L$26="Moderado"),CONCATENATE("R",'Mapa final'!$A$26),"")</f>
        <v/>
      </c>
      <c r="W26" s="346"/>
      <c r="X26" s="346" t="str">
        <f ca="1">IF(AND('Mapa final'!$H$32="Media",'Mapa final'!$L$32="Moderado"),CONCATENATE("R",'Mapa final'!$A$32),"")</f>
        <v/>
      </c>
      <c r="Y26" s="346"/>
      <c r="Z26" s="346" t="str">
        <f ca="1">IF(AND('Mapa final'!$H$38="Media",'Mapa final'!$L$38="Moderado"),CONCATENATE("R",'Mapa final'!$A$38),"")</f>
        <v/>
      </c>
      <c r="AA26" s="347"/>
      <c r="AB26" s="328" t="str">
        <f ca="1">IF(AND('Mapa final'!$H$26="Media",'Mapa final'!$L$26="Mayor"),CONCATENATE("R",'Mapa final'!$A$26),"")</f>
        <v/>
      </c>
      <c r="AC26" s="325"/>
      <c r="AD26" s="323" t="str">
        <f ca="1">IF(AND('Mapa final'!$H$32="Media",'Mapa final'!$L$32="Mayor"),CONCATENATE("R",'Mapa final'!$A$32),"")</f>
        <v/>
      </c>
      <c r="AE26" s="323"/>
      <c r="AF26" s="323" t="str">
        <f ca="1">IF(AND('Mapa final'!$H$38="Media",'Mapa final'!$L$38="Mayor"),CONCATENATE("R",'Mapa final'!$A$38),"")</f>
        <v/>
      </c>
      <c r="AG26" s="324"/>
      <c r="AH26" s="336" t="str">
        <f ca="1">IF(AND('Mapa final'!$H$26="Media",'Mapa final'!$L$26="Catastrófico"),CONCATENATE("R",'Mapa final'!$A$26),"")</f>
        <v/>
      </c>
      <c r="AI26" s="337"/>
      <c r="AJ26" s="337" t="str">
        <f ca="1">IF(AND('Mapa final'!$H$32="Media",'Mapa final'!$L$32="Catastrófico"),CONCATENATE("R",'Mapa final'!$A$32),"")</f>
        <v/>
      </c>
      <c r="AK26" s="337"/>
      <c r="AL26" s="337" t="str">
        <f ca="1">IF(AND('Mapa final'!$H$38="Media",'Mapa final'!$L$38="Catastrófico"),CONCATENATE("R",'Mapa final'!$A$38),"")</f>
        <v/>
      </c>
      <c r="AM26" s="338"/>
      <c r="AN26" s="84"/>
      <c r="AO26" s="299"/>
      <c r="AP26" s="300"/>
      <c r="AQ26" s="300"/>
      <c r="AR26" s="300"/>
      <c r="AS26" s="300"/>
      <c r="AT26" s="301"/>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4">
      <c r="A27" s="84"/>
      <c r="B27" s="276"/>
      <c r="C27" s="276"/>
      <c r="D27" s="277"/>
      <c r="E27" s="317"/>
      <c r="F27" s="318"/>
      <c r="G27" s="318"/>
      <c r="H27" s="318"/>
      <c r="I27" s="319"/>
      <c r="J27" s="345"/>
      <c r="K27" s="346"/>
      <c r="L27" s="346"/>
      <c r="M27" s="346"/>
      <c r="N27" s="346"/>
      <c r="O27" s="347"/>
      <c r="P27" s="345"/>
      <c r="Q27" s="346"/>
      <c r="R27" s="346"/>
      <c r="S27" s="346"/>
      <c r="T27" s="346"/>
      <c r="U27" s="347"/>
      <c r="V27" s="345"/>
      <c r="W27" s="346"/>
      <c r="X27" s="346"/>
      <c r="Y27" s="346"/>
      <c r="Z27" s="346"/>
      <c r="AA27" s="347"/>
      <c r="AB27" s="328"/>
      <c r="AC27" s="325"/>
      <c r="AD27" s="323"/>
      <c r="AE27" s="323"/>
      <c r="AF27" s="323"/>
      <c r="AG27" s="324"/>
      <c r="AH27" s="336"/>
      <c r="AI27" s="337"/>
      <c r="AJ27" s="337"/>
      <c r="AK27" s="337"/>
      <c r="AL27" s="337"/>
      <c r="AM27" s="338"/>
      <c r="AN27" s="84"/>
      <c r="AO27" s="299"/>
      <c r="AP27" s="300"/>
      <c r="AQ27" s="300"/>
      <c r="AR27" s="300"/>
      <c r="AS27" s="300"/>
      <c r="AT27" s="30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4">
      <c r="A28" s="84"/>
      <c r="B28" s="276"/>
      <c r="C28" s="276"/>
      <c r="D28" s="277"/>
      <c r="E28" s="317"/>
      <c r="F28" s="318"/>
      <c r="G28" s="318"/>
      <c r="H28" s="318"/>
      <c r="I28" s="319"/>
      <c r="J28" s="345" t="str">
        <f ca="1">IF(AND('Mapa final'!$H$44="Media",'Mapa final'!$L$44="Leve"),CONCATENATE("R",'Mapa final'!$A$44),"")</f>
        <v/>
      </c>
      <c r="K28" s="346"/>
      <c r="L28" s="346" t="str">
        <f>IF(AND('Mapa final'!$H$50="Media",'Mapa final'!$L$50="Leve"),CONCATENATE("R",'Mapa final'!$A$50),"")</f>
        <v/>
      </c>
      <c r="M28" s="346"/>
      <c r="N28" s="346" t="str">
        <f>IF(AND('Mapa final'!$H$56="Media",'Mapa final'!$L$56="Leve"),CONCATENATE("R",'Mapa final'!$A$56),"")</f>
        <v/>
      </c>
      <c r="O28" s="347"/>
      <c r="P28" s="345" t="str">
        <f ca="1">IF(AND('Mapa final'!$H$44="Media",'Mapa final'!$L$44="Menor"),CONCATENATE("R",'Mapa final'!$A$44),"")</f>
        <v/>
      </c>
      <c r="Q28" s="346"/>
      <c r="R28" s="346" t="str">
        <f>IF(AND('Mapa final'!$H$50="Media",'Mapa final'!$L$50="Menor"),CONCATENATE("R",'Mapa final'!$A$50),"")</f>
        <v/>
      </c>
      <c r="S28" s="346"/>
      <c r="T28" s="346" t="str">
        <f>IF(AND('Mapa final'!$H$56="Media",'Mapa final'!$L$56="Menor"),CONCATENATE("R",'Mapa final'!$A$56),"")</f>
        <v/>
      </c>
      <c r="U28" s="347"/>
      <c r="V28" s="345" t="str">
        <f ca="1">IF(AND('Mapa final'!$H$44="Media",'Mapa final'!$L$44="Moderado"),CONCATENATE("R",'Mapa final'!$A$44),"")</f>
        <v/>
      </c>
      <c r="W28" s="346"/>
      <c r="X28" s="346" t="str">
        <f>IF(AND('Mapa final'!$H$50="Media",'Mapa final'!$L$50="Moderado"),CONCATENATE("R",'Mapa final'!$A$50),"")</f>
        <v/>
      </c>
      <c r="Y28" s="346"/>
      <c r="Z28" s="346" t="str">
        <f>IF(AND('Mapa final'!$H$56="Media",'Mapa final'!$L$56="Moderado"),CONCATENATE("R",'Mapa final'!$A$56),"")</f>
        <v/>
      </c>
      <c r="AA28" s="347"/>
      <c r="AB28" s="328" t="str">
        <f ca="1">IF(AND('Mapa final'!$H$44="Media",'Mapa final'!$L$44="Mayor"),CONCATENATE("R",'Mapa final'!$A$44),"")</f>
        <v/>
      </c>
      <c r="AC28" s="325"/>
      <c r="AD28" s="323" t="str">
        <f>IF(AND('Mapa final'!$H$50="Media",'Mapa final'!$L$50="Mayor"),CONCATENATE("R",'Mapa final'!$A$50),"")</f>
        <v/>
      </c>
      <c r="AE28" s="323"/>
      <c r="AF28" s="323" t="str">
        <f>IF(AND('Mapa final'!$H$56="Media",'Mapa final'!$L$56="Mayor"),CONCATENATE("R",'Mapa final'!$A$56),"")</f>
        <v/>
      </c>
      <c r="AG28" s="324"/>
      <c r="AH28" s="336" t="str">
        <f ca="1">IF(AND('Mapa final'!$H$44="Media",'Mapa final'!$L$44="Catastrófico"),CONCATENATE("R",'Mapa final'!$A$44),"")</f>
        <v/>
      </c>
      <c r="AI28" s="337"/>
      <c r="AJ28" s="337" t="str">
        <f>IF(AND('Mapa final'!$H$50="Media",'Mapa final'!$L$50="Catastrófico"),CONCATENATE("R",'Mapa final'!$A$50),"")</f>
        <v/>
      </c>
      <c r="AK28" s="337"/>
      <c r="AL28" s="337" t="str">
        <f>IF(AND('Mapa final'!$H$56="Media",'Mapa final'!$L$56="Catastrófico"),CONCATENATE("R",'Mapa final'!$A$56),"")</f>
        <v/>
      </c>
      <c r="AM28" s="338"/>
      <c r="AN28" s="84"/>
      <c r="AO28" s="299"/>
      <c r="AP28" s="300"/>
      <c r="AQ28" s="300"/>
      <c r="AR28" s="300"/>
      <c r="AS28" s="300"/>
      <c r="AT28" s="30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 thickBot="1" x14ac:dyDescent="0.45">
      <c r="A29" s="84"/>
      <c r="B29" s="276"/>
      <c r="C29" s="276"/>
      <c r="D29" s="277"/>
      <c r="E29" s="320"/>
      <c r="F29" s="321"/>
      <c r="G29" s="321"/>
      <c r="H29" s="321"/>
      <c r="I29" s="322"/>
      <c r="J29" s="345"/>
      <c r="K29" s="346"/>
      <c r="L29" s="346"/>
      <c r="M29" s="346"/>
      <c r="N29" s="346"/>
      <c r="O29" s="347"/>
      <c r="P29" s="348"/>
      <c r="Q29" s="349"/>
      <c r="R29" s="349"/>
      <c r="S29" s="349"/>
      <c r="T29" s="349"/>
      <c r="U29" s="350"/>
      <c r="V29" s="348"/>
      <c r="W29" s="349"/>
      <c r="X29" s="349"/>
      <c r="Y29" s="349"/>
      <c r="Z29" s="349"/>
      <c r="AA29" s="350"/>
      <c r="AB29" s="333"/>
      <c r="AC29" s="334"/>
      <c r="AD29" s="334"/>
      <c r="AE29" s="334"/>
      <c r="AF29" s="334"/>
      <c r="AG29" s="335"/>
      <c r="AH29" s="339"/>
      <c r="AI29" s="340"/>
      <c r="AJ29" s="340"/>
      <c r="AK29" s="340"/>
      <c r="AL29" s="340"/>
      <c r="AM29" s="341"/>
      <c r="AN29" s="84"/>
      <c r="AO29" s="302"/>
      <c r="AP29" s="303"/>
      <c r="AQ29" s="303"/>
      <c r="AR29" s="303"/>
      <c r="AS29" s="303"/>
      <c r="AT29" s="30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4">
      <c r="A30" s="84"/>
      <c r="B30" s="276"/>
      <c r="C30" s="276"/>
      <c r="D30" s="277"/>
      <c r="E30" s="314" t="s">
        <v>114</v>
      </c>
      <c r="F30" s="315"/>
      <c r="G30" s="315"/>
      <c r="H30" s="315"/>
      <c r="I30" s="315"/>
      <c r="J30" s="360" t="str">
        <f>IF(AND('Mapa final'!$H$10="Baja",'Mapa final'!$L$10="Leve"),CONCATENATE("R",'Mapa final'!$A$10),"")</f>
        <v/>
      </c>
      <c r="K30" s="361"/>
      <c r="L30" s="361" t="str">
        <f>IF(AND('Mapa final'!$H$11="Baja",'Mapa final'!$L$11="Leve"),CONCATENATE("R",'Mapa final'!$A$11),"")</f>
        <v/>
      </c>
      <c r="M30" s="361"/>
      <c r="N30" s="361" t="e">
        <f>IF(AND('Mapa final'!#REF!="Baja",'Mapa final'!#REF!="Leve"),CONCATENATE("R",'Mapa final'!#REF!),"")</f>
        <v>#REF!</v>
      </c>
      <c r="O30" s="362"/>
      <c r="P30" s="352" t="str">
        <f>IF(AND('Mapa final'!$H$10="Baja",'Mapa final'!$L$10="Menor"),CONCATENATE("R",'Mapa final'!$A$10),"")</f>
        <v/>
      </c>
      <c r="Q30" s="352"/>
      <c r="R30" s="352" t="str">
        <f>IF(AND('Mapa final'!$H$11="Baja",'Mapa final'!$L$11="Menor"),CONCATENATE("R",'Mapa final'!$A$11),"")</f>
        <v/>
      </c>
      <c r="S30" s="352"/>
      <c r="T30" s="352" t="e">
        <f>IF(AND('Mapa final'!#REF!="Baja",'Mapa final'!#REF!="Menor"),CONCATENATE("R",'Mapa final'!#REF!),"")</f>
        <v>#REF!</v>
      </c>
      <c r="U30" s="353"/>
      <c r="V30" s="351" t="str">
        <f>IF(AND('Mapa final'!$H$10="Baja",'Mapa final'!$L$10="Moderado"),CONCATENATE("R",'Mapa final'!$A$10),"")</f>
        <v/>
      </c>
      <c r="W30" s="352"/>
      <c r="X30" s="352" t="str">
        <f>IF(AND('Mapa final'!$H$11="Baja",'Mapa final'!$L$11="Moderado"),CONCATENATE("R",'Mapa final'!$A$11),"")</f>
        <v/>
      </c>
      <c r="Y30" s="352"/>
      <c r="Z30" s="352" t="e">
        <f>IF(AND('Mapa final'!#REF!="Baja",'Mapa final'!#REF!="Moderado"),CONCATENATE("R",'Mapa final'!#REF!),"")</f>
        <v>#REF!</v>
      </c>
      <c r="AA30" s="353"/>
      <c r="AB30" s="326" t="str">
        <f>IF(AND('Mapa final'!$H$10="Baja",'Mapa final'!$L$10="Mayor"),CONCATENATE("R",'Mapa final'!$A$10),"")</f>
        <v/>
      </c>
      <c r="AC30" s="327"/>
      <c r="AD30" s="327" t="str">
        <f>IF(AND('Mapa final'!$H$11="Baja",'Mapa final'!$L$11="Mayor"),CONCATENATE("R",'Mapa final'!$A$11),"")</f>
        <v/>
      </c>
      <c r="AE30" s="327"/>
      <c r="AF30" s="327" t="e">
        <f>IF(AND('Mapa final'!#REF!="Baja",'Mapa final'!#REF!="Mayor"),CONCATENATE("R",'Mapa final'!#REF!),"")</f>
        <v>#REF!</v>
      </c>
      <c r="AG30" s="329"/>
      <c r="AH30" s="342" t="str">
        <f>IF(AND('Mapa final'!$H$10="Baja",'Mapa final'!$L$10="Catastrófico"),CONCATENATE("R",'Mapa final'!$A$10),"")</f>
        <v/>
      </c>
      <c r="AI30" s="343"/>
      <c r="AJ30" s="343" t="str">
        <f>IF(AND('Mapa final'!$H$11="Baja",'Mapa final'!$L$11="Catastrófico"),CONCATENATE("R",'Mapa final'!$A$11),"")</f>
        <v/>
      </c>
      <c r="AK30" s="343"/>
      <c r="AL30" s="343" t="e">
        <f>IF(AND('Mapa final'!#REF!="Baja",'Mapa final'!#REF!="Catastrófico"),CONCATENATE("R",'Mapa final'!#REF!),"")</f>
        <v>#REF!</v>
      </c>
      <c r="AM30" s="344"/>
      <c r="AN30" s="84"/>
      <c r="AO30" s="305" t="s">
        <v>82</v>
      </c>
      <c r="AP30" s="306"/>
      <c r="AQ30" s="306"/>
      <c r="AR30" s="306"/>
      <c r="AS30" s="306"/>
      <c r="AT30" s="307"/>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4">
      <c r="A31" s="84"/>
      <c r="B31" s="276"/>
      <c r="C31" s="276"/>
      <c r="D31" s="277"/>
      <c r="E31" s="317"/>
      <c r="F31" s="318"/>
      <c r="G31" s="318"/>
      <c r="H31" s="318"/>
      <c r="I31" s="331"/>
      <c r="J31" s="356"/>
      <c r="K31" s="354"/>
      <c r="L31" s="354"/>
      <c r="M31" s="354"/>
      <c r="N31" s="354"/>
      <c r="O31" s="355"/>
      <c r="P31" s="346"/>
      <c r="Q31" s="346"/>
      <c r="R31" s="346"/>
      <c r="S31" s="346"/>
      <c r="T31" s="346"/>
      <c r="U31" s="347"/>
      <c r="V31" s="345"/>
      <c r="W31" s="346"/>
      <c r="X31" s="346"/>
      <c r="Y31" s="346"/>
      <c r="Z31" s="346"/>
      <c r="AA31" s="347"/>
      <c r="AB31" s="328"/>
      <c r="AC31" s="325"/>
      <c r="AD31" s="325"/>
      <c r="AE31" s="325"/>
      <c r="AF31" s="325"/>
      <c r="AG31" s="324"/>
      <c r="AH31" s="336"/>
      <c r="AI31" s="337"/>
      <c r="AJ31" s="337"/>
      <c r="AK31" s="337"/>
      <c r="AL31" s="337"/>
      <c r="AM31" s="338"/>
      <c r="AN31" s="84"/>
      <c r="AO31" s="308"/>
      <c r="AP31" s="309"/>
      <c r="AQ31" s="309"/>
      <c r="AR31" s="309"/>
      <c r="AS31" s="309"/>
      <c r="AT31" s="310"/>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4">
      <c r="A32" s="84"/>
      <c r="B32" s="276"/>
      <c r="C32" s="276"/>
      <c r="D32" s="277"/>
      <c r="E32" s="317"/>
      <c r="F32" s="318"/>
      <c r="G32" s="318"/>
      <c r="H32" s="318"/>
      <c r="I32" s="331"/>
      <c r="J32" s="356" t="str">
        <f>IF(AND('Mapa final'!$H$13="Baja",'Mapa final'!$L$13="Leve"),CONCATENATE("R",'Mapa final'!$A$13),"")</f>
        <v/>
      </c>
      <c r="K32" s="354"/>
      <c r="L32" s="354" t="str">
        <f ca="1">IF(AND('Mapa final'!$H$14="Baja",'Mapa final'!$L$14="Leve"),CONCATENATE("R",'Mapa final'!$A$14),"")</f>
        <v/>
      </c>
      <c r="M32" s="354"/>
      <c r="N32" s="354" t="str">
        <f ca="1">IF(AND('Mapa final'!$H$20="Baja",'Mapa final'!$L$20="Leve"),CONCATENATE("R",'Mapa final'!$A$20),"")</f>
        <v/>
      </c>
      <c r="O32" s="355"/>
      <c r="P32" s="346" t="str">
        <f>IF(AND('Mapa final'!$H$13="Baja",'Mapa final'!$L$13="Menor"),CONCATENATE("R",'Mapa final'!$A$13),"")</f>
        <v/>
      </c>
      <c r="Q32" s="346"/>
      <c r="R32" s="346" t="str">
        <f ca="1">IF(AND('Mapa final'!$H$14="Baja",'Mapa final'!$L$14="Menor"),CONCATENATE("R",'Mapa final'!$A$14),"")</f>
        <v/>
      </c>
      <c r="S32" s="346"/>
      <c r="T32" s="346" t="str">
        <f ca="1">IF(AND('Mapa final'!$H$20="Baja",'Mapa final'!$L$20="Menor"),CONCATENATE("R",'Mapa final'!$A$20),"")</f>
        <v/>
      </c>
      <c r="U32" s="347"/>
      <c r="V32" s="345" t="str">
        <f>IF(AND('Mapa final'!$H$13="Baja",'Mapa final'!$L$13="Moderado"),CONCATENATE("R",'Mapa final'!$A$13),"")</f>
        <v/>
      </c>
      <c r="W32" s="346"/>
      <c r="X32" s="346" t="str">
        <f ca="1">IF(AND('Mapa final'!$H$14="Baja",'Mapa final'!$L$14="Moderado"),CONCATENATE("R",'Mapa final'!$A$14),"")</f>
        <v/>
      </c>
      <c r="Y32" s="346"/>
      <c r="Z32" s="346" t="str">
        <f ca="1">IF(AND('Mapa final'!$H$20="Baja",'Mapa final'!$L$20="Moderado"),CONCATENATE("R",'Mapa final'!$A$20),"")</f>
        <v/>
      </c>
      <c r="AA32" s="347"/>
      <c r="AB32" s="328" t="str">
        <f>IF(AND('Mapa final'!$H$13="Baja",'Mapa final'!$L$13="Mayor"),CONCATENATE("R",'Mapa final'!$A$13),"")</f>
        <v/>
      </c>
      <c r="AC32" s="325"/>
      <c r="AD32" s="323" t="str">
        <f ca="1">IF(AND('Mapa final'!$H$14="Baja",'Mapa final'!$L$14="Mayor"),CONCATENATE("R",'Mapa final'!$A$14),"")</f>
        <v/>
      </c>
      <c r="AE32" s="323"/>
      <c r="AF32" s="323" t="str">
        <f ca="1">IF(AND('Mapa final'!$H$20="Baja",'Mapa final'!$L$20="Mayor"),CONCATENATE("R",'Mapa final'!$A$20),"")</f>
        <v/>
      </c>
      <c r="AG32" s="324"/>
      <c r="AH32" s="336" t="str">
        <f>IF(AND('Mapa final'!$H$13="Baja",'Mapa final'!$L$13="Catastrófico"),CONCATENATE("R",'Mapa final'!$A$13),"")</f>
        <v/>
      </c>
      <c r="AI32" s="337"/>
      <c r="AJ32" s="337" t="str">
        <f ca="1">IF(AND('Mapa final'!$H$14="Baja",'Mapa final'!$L$14="Catastrófico"),CONCATENATE("R",'Mapa final'!$A$14),"")</f>
        <v/>
      </c>
      <c r="AK32" s="337"/>
      <c r="AL32" s="337" t="str">
        <f ca="1">IF(AND('Mapa final'!$H$20="Baja",'Mapa final'!$L$20="Catastrófico"),CONCATENATE("R",'Mapa final'!$A$20),"")</f>
        <v/>
      </c>
      <c r="AM32" s="338"/>
      <c r="AN32" s="84"/>
      <c r="AO32" s="308"/>
      <c r="AP32" s="309"/>
      <c r="AQ32" s="309"/>
      <c r="AR32" s="309"/>
      <c r="AS32" s="309"/>
      <c r="AT32" s="310"/>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4">
      <c r="A33" s="84"/>
      <c r="B33" s="276"/>
      <c r="C33" s="276"/>
      <c r="D33" s="277"/>
      <c r="E33" s="317"/>
      <c r="F33" s="318"/>
      <c r="G33" s="318"/>
      <c r="H33" s="318"/>
      <c r="I33" s="331"/>
      <c r="J33" s="356"/>
      <c r="K33" s="354"/>
      <c r="L33" s="354"/>
      <c r="M33" s="354"/>
      <c r="N33" s="354"/>
      <c r="O33" s="355"/>
      <c r="P33" s="346"/>
      <c r="Q33" s="346"/>
      <c r="R33" s="346"/>
      <c r="S33" s="346"/>
      <c r="T33" s="346"/>
      <c r="U33" s="347"/>
      <c r="V33" s="345"/>
      <c r="W33" s="346"/>
      <c r="X33" s="346"/>
      <c r="Y33" s="346"/>
      <c r="Z33" s="346"/>
      <c r="AA33" s="347"/>
      <c r="AB33" s="328"/>
      <c r="AC33" s="325"/>
      <c r="AD33" s="323"/>
      <c r="AE33" s="323"/>
      <c r="AF33" s="323"/>
      <c r="AG33" s="324"/>
      <c r="AH33" s="336"/>
      <c r="AI33" s="337"/>
      <c r="AJ33" s="337"/>
      <c r="AK33" s="337"/>
      <c r="AL33" s="337"/>
      <c r="AM33" s="338"/>
      <c r="AN33" s="84"/>
      <c r="AO33" s="308"/>
      <c r="AP33" s="309"/>
      <c r="AQ33" s="309"/>
      <c r="AR33" s="309"/>
      <c r="AS33" s="309"/>
      <c r="AT33" s="310"/>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4">
      <c r="A34" s="84"/>
      <c r="B34" s="276"/>
      <c r="C34" s="276"/>
      <c r="D34" s="277"/>
      <c r="E34" s="317"/>
      <c r="F34" s="318"/>
      <c r="G34" s="318"/>
      <c r="H34" s="318"/>
      <c r="I34" s="331"/>
      <c r="J34" s="356" t="str">
        <f ca="1">IF(AND('Mapa final'!$H$26="Baja",'Mapa final'!$L$26="Leve"),CONCATENATE("R",'Mapa final'!$A$26),"")</f>
        <v/>
      </c>
      <c r="K34" s="354"/>
      <c r="L34" s="354" t="str">
        <f ca="1">IF(AND('Mapa final'!$H$32="Baja",'Mapa final'!$L$32="Leve"),CONCATENATE("R",'Mapa final'!$A$32),"")</f>
        <v/>
      </c>
      <c r="M34" s="354"/>
      <c r="N34" s="354" t="str">
        <f ca="1">IF(AND('Mapa final'!$H$38="Baja",'Mapa final'!$L$38="Leve"),CONCATENATE("R",'Mapa final'!$A$38),"")</f>
        <v/>
      </c>
      <c r="O34" s="355"/>
      <c r="P34" s="346" t="str">
        <f ca="1">IF(AND('Mapa final'!$H$26="Baja",'Mapa final'!$L$26="Menor"),CONCATENATE("R",'Mapa final'!$A$26),"")</f>
        <v/>
      </c>
      <c r="Q34" s="346"/>
      <c r="R34" s="346" t="str">
        <f ca="1">IF(AND('Mapa final'!$H$32="Baja",'Mapa final'!$L$32="Menor"),CONCATENATE("R",'Mapa final'!$A$32),"")</f>
        <v/>
      </c>
      <c r="S34" s="346"/>
      <c r="T34" s="346" t="str">
        <f ca="1">IF(AND('Mapa final'!$H$38="Baja",'Mapa final'!$L$38="Menor"),CONCATENATE("R",'Mapa final'!$A$38),"")</f>
        <v/>
      </c>
      <c r="U34" s="347"/>
      <c r="V34" s="345" t="str">
        <f ca="1">IF(AND('Mapa final'!$H$26="Baja",'Mapa final'!$L$26="Moderado"),CONCATENATE("R",'Mapa final'!$A$26),"")</f>
        <v/>
      </c>
      <c r="W34" s="346"/>
      <c r="X34" s="346" t="str">
        <f ca="1">IF(AND('Mapa final'!$H$32="Baja",'Mapa final'!$L$32="Moderado"),CONCATENATE("R",'Mapa final'!$A$32),"")</f>
        <v/>
      </c>
      <c r="Y34" s="346"/>
      <c r="Z34" s="346" t="str">
        <f ca="1">IF(AND('Mapa final'!$H$38="Baja",'Mapa final'!$L$38="Moderado"),CONCATENATE("R",'Mapa final'!$A$38),"")</f>
        <v/>
      </c>
      <c r="AA34" s="347"/>
      <c r="AB34" s="328" t="str">
        <f ca="1">IF(AND('Mapa final'!$H$26="Baja",'Mapa final'!$L$26="Mayor"),CONCATENATE("R",'Mapa final'!$A$26),"")</f>
        <v/>
      </c>
      <c r="AC34" s="325"/>
      <c r="AD34" s="323" t="str">
        <f ca="1">IF(AND('Mapa final'!$H$32="Baja",'Mapa final'!$L$32="Mayor"),CONCATENATE("R",'Mapa final'!$A$32),"")</f>
        <v/>
      </c>
      <c r="AE34" s="323"/>
      <c r="AF34" s="323" t="str">
        <f ca="1">IF(AND('Mapa final'!$H$38="Baja",'Mapa final'!$L$38="Mayor"),CONCATENATE("R",'Mapa final'!$A$38),"")</f>
        <v/>
      </c>
      <c r="AG34" s="324"/>
      <c r="AH34" s="336" t="str">
        <f ca="1">IF(AND('Mapa final'!$H$26="Baja",'Mapa final'!$L$26="Catastrófico"),CONCATENATE("R",'Mapa final'!$A$26),"")</f>
        <v/>
      </c>
      <c r="AI34" s="337"/>
      <c r="AJ34" s="337" t="str">
        <f ca="1">IF(AND('Mapa final'!$H$32="Baja",'Mapa final'!$L$32="Catastrófico"),CONCATENATE("R",'Mapa final'!$A$32),"")</f>
        <v/>
      </c>
      <c r="AK34" s="337"/>
      <c r="AL34" s="337" t="str">
        <f ca="1">IF(AND('Mapa final'!$H$38="Baja",'Mapa final'!$L$38="Catastrófico"),CONCATENATE("R",'Mapa final'!$A$38),"")</f>
        <v/>
      </c>
      <c r="AM34" s="338"/>
      <c r="AN34" s="84"/>
      <c r="AO34" s="308"/>
      <c r="AP34" s="309"/>
      <c r="AQ34" s="309"/>
      <c r="AR34" s="309"/>
      <c r="AS34" s="309"/>
      <c r="AT34" s="310"/>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4">
      <c r="A35" s="84"/>
      <c r="B35" s="276"/>
      <c r="C35" s="276"/>
      <c r="D35" s="277"/>
      <c r="E35" s="317"/>
      <c r="F35" s="318"/>
      <c r="G35" s="318"/>
      <c r="H35" s="318"/>
      <c r="I35" s="331"/>
      <c r="J35" s="356"/>
      <c r="K35" s="354"/>
      <c r="L35" s="354"/>
      <c r="M35" s="354"/>
      <c r="N35" s="354"/>
      <c r="O35" s="355"/>
      <c r="P35" s="346"/>
      <c r="Q35" s="346"/>
      <c r="R35" s="346"/>
      <c r="S35" s="346"/>
      <c r="T35" s="346"/>
      <c r="U35" s="347"/>
      <c r="V35" s="345"/>
      <c r="W35" s="346"/>
      <c r="X35" s="346"/>
      <c r="Y35" s="346"/>
      <c r="Z35" s="346"/>
      <c r="AA35" s="347"/>
      <c r="AB35" s="328"/>
      <c r="AC35" s="325"/>
      <c r="AD35" s="323"/>
      <c r="AE35" s="323"/>
      <c r="AF35" s="323"/>
      <c r="AG35" s="324"/>
      <c r="AH35" s="336"/>
      <c r="AI35" s="337"/>
      <c r="AJ35" s="337"/>
      <c r="AK35" s="337"/>
      <c r="AL35" s="337"/>
      <c r="AM35" s="338"/>
      <c r="AN35" s="84"/>
      <c r="AO35" s="308"/>
      <c r="AP35" s="309"/>
      <c r="AQ35" s="309"/>
      <c r="AR35" s="309"/>
      <c r="AS35" s="309"/>
      <c r="AT35" s="310"/>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4">
      <c r="A36" s="84"/>
      <c r="B36" s="276"/>
      <c r="C36" s="276"/>
      <c r="D36" s="277"/>
      <c r="E36" s="317"/>
      <c r="F36" s="318"/>
      <c r="G36" s="318"/>
      <c r="H36" s="318"/>
      <c r="I36" s="331"/>
      <c r="J36" s="356" t="str">
        <f ca="1">IF(AND('Mapa final'!$H$44="Baja",'Mapa final'!$L$44="Leve"),CONCATENATE("R",'Mapa final'!$A$44),"")</f>
        <v/>
      </c>
      <c r="K36" s="354"/>
      <c r="L36" s="354" t="str">
        <f>IF(AND('Mapa final'!$H$50="Baja",'Mapa final'!$L$50="Leve"),CONCATENATE("R",'Mapa final'!$A$50),"")</f>
        <v/>
      </c>
      <c r="M36" s="354"/>
      <c r="N36" s="354" t="str">
        <f>IF(AND('Mapa final'!$H$56="Baja",'Mapa final'!$L$56="Leve"),CONCATENATE("R",'Mapa final'!$A$56),"")</f>
        <v/>
      </c>
      <c r="O36" s="355"/>
      <c r="P36" s="346" t="str">
        <f ca="1">IF(AND('Mapa final'!$H$44="Baja",'Mapa final'!$L$44="Menor"),CONCATENATE("R",'Mapa final'!$A$44),"")</f>
        <v/>
      </c>
      <c r="Q36" s="346"/>
      <c r="R36" s="346" t="str">
        <f>IF(AND('Mapa final'!$H$50="Baja",'Mapa final'!$L$50="Menor"),CONCATENATE("R",'Mapa final'!$A$50),"")</f>
        <v/>
      </c>
      <c r="S36" s="346"/>
      <c r="T36" s="346" t="str">
        <f>IF(AND('Mapa final'!$H$56="Baja",'Mapa final'!$L$56="Menor"),CONCATENATE("R",'Mapa final'!$A$56),"")</f>
        <v/>
      </c>
      <c r="U36" s="347"/>
      <c r="V36" s="345" t="str">
        <f ca="1">IF(AND('Mapa final'!$H$44="Baja",'Mapa final'!$L$44="Moderado"),CONCATENATE("R",'Mapa final'!$A$44),"")</f>
        <v/>
      </c>
      <c r="W36" s="346"/>
      <c r="X36" s="346" t="str">
        <f>IF(AND('Mapa final'!$H$50="Baja",'Mapa final'!$L$50="Moderado"),CONCATENATE("R",'Mapa final'!$A$50),"")</f>
        <v/>
      </c>
      <c r="Y36" s="346"/>
      <c r="Z36" s="346" t="str">
        <f>IF(AND('Mapa final'!$H$56="Baja",'Mapa final'!$L$56="Moderado"),CONCATENATE("R",'Mapa final'!$A$56),"")</f>
        <v/>
      </c>
      <c r="AA36" s="347"/>
      <c r="AB36" s="328" t="str">
        <f ca="1">IF(AND('Mapa final'!$H$44="Baja",'Mapa final'!$L$44="Mayor"),CONCATENATE("R",'Mapa final'!$A$44),"")</f>
        <v/>
      </c>
      <c r="AC36" s="325"/>
      <c r="AD36" s="323" t="str">
        <f>IF(AND('Mapa final'!$H$50="Baja",'Mapa final'!$L$50="Mayor"),CONCATENATE("R",'Mapa final'!$A$50),"")</f>
        <v/>
      </c>
      <c r="AE36" s="323"/>
      <c r="AF36" s="323" t="str">
        <f>IF(AND('Mapa final'!$H$56="Baja",'Mapa final'!$L$56="Mayor"),CONCATENATE("R",'Mapa final'!$A$56),"")</f>
        <v/>
      </c>
      <c r="AG36" s="324"/>
      <c r="AH36" s="336" t="str">
        <f ca="1">IF(AND('Mapa final'!$H$44="Baja",'Mapa final'!$L$44="Catastrófico"),CONCATENATE("R",'Mapa final'!$A$44),"")</f>
        <v/>
      </c>
      <c r="AI36" s="337"/>
      <c r="AJ36" s="337" t="str">
        <f>IF(AND('Mapa final'!$H$50="Baja",'Mapa final'!$L$50="Catastrófico"),CONCATENATE("R",'Mapa final'!$A$50),"")</f>
        <v/>
      </c>
      <c r="AK36" s="337"/>
      <c r="AL36" s="337" t="str">
        <f>IF(AND('Mapa final'!$H$56="Baja",'Mapa final'!$L$56="Catastrófico"),CONCATENATE("R",'Mapa final'!$A$56),"")</f>
        <v/>
      </c>
      <c r="AM36" s="338"/>
      <c r="AN36" s="84"/>
      <c r="AO36" s="308"/>
      <c r="AP36" s="309"/>
      <c r="AQ36" s="309"/>
      <c r="AR36" s="309"/>
      <c r="AS36" s="309"/>
      <c r="AT36" s="31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 thickBot="1" x14ac:dyDescent="0.45">
      <c r="A37" s="84"/>
      <c r="B37" s="276"/>
      <c r="C37" s="276"/>
      <c r="D37" s="277"/>
      <c r="E37" s="320"/>
      <c r="F37" s="321"/>
      <c r="G37" s="321"/>
      <c r="H37" s="321"/>
      <c r="I37" s="321"/>
      <c r="J37" s="357"/>
      <c r="K37" s="358"/>
      <c r="L37" s="358"/>
      <c r="M37" s="358"/>
      <c r="N37" s="358"/>
      <c r="O37" s="359"/>
      <c r="P37" s="349"/>
      <c r="Q37" s="349"/>
      <c r="R37" s="349"/>
      <c r="S37" s="349"/>
      <c r="T37" s="349"/>
      <c r="U37" s="350"/>
      <c r="V37" s="348"/>
      <c r="W37" s="349"/>
      <c r="X37" s="349"/>
      <c r="Y37" s="349"/>
      <c r="Z37" s="349"/>
      <c r="AA37" s="350"/>
      <c r="AB37" s="333"/>
      <c r="AC37" s="334"/>
      <c r="AD37" s="334"/>
      <c r="AE37" s="334"/>
      <c r="AF37" s="334"/>
      <c r="AG37" s="335"/>
      <c r="AH37" s="339"/>
      <c r="AI37" s="340"/>
      <c r="AJ37" s="340"/>
      <c r="AK37" s="340"/>
      <c r="AL37" s="340"/>
      <c r="AM37" s="341"/>
      <c r="AN37" s="84"/>
      <c r="AO37" s="311"/>
      <c r="AP37" s="312"/>
      <c r="AQ37" s="312"/>
      <c r="AR37" s="312"/>
      <c r="AS37" s="312"/>
      <c r="AT37" s="31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4">
      <c r="A38" s="84"/>
      <c r="B38" s="276"/>
      <c r="C38" s="276"/>
      <c r="D38" s="277"/>
      <c r="E38" s="314" t="s">
        <v>113</v>
      </c>
      <c r="F38" s="315"/>
      <c r="G38" s="315"/>
      <c r="H38" s="315"/>
      <c r="I38" s="316"/>
      <c r="J38" s="360" t="str">
        <f>IF(AND('Mapa final'!$H$10="Muy Baja",'Mapa final'!$L$10="Leve"),CONCATENATE("R",'Mapa final'!$A$10),"")</f>
        <v/>
      </c>
      <c r="K38" s="361"/>
      <c r="L38" s="361" t="str">
        <f>IF(AND('Mapa final'!$H$11="Muy Baja",'Mapa final'!$L$11="Leve"),CONCATENATE("R",'Mapa final'!$A$11),"")</f>
        <v/>
      </c>
      <c r="M38" s="361"/>
      <c r="N38" s="361" t="e">
        <f>IF(AND('Mapa final'!#REF!="Muy Baja",'Mapa final'!#REF!="Leve"),CONCATENATE("R",'Mapa final'!#REF!),"")</f>
        <v>#REF!</v>
      </c>
      <c r="O38" s="362"/>
      <c r="P38" s="360" t="str">
        <f>IF(AND('Mapa final'!$H$10="Muy Baja",'Mapa final'!$L$10="Menor"),CONCATENATE("R",'Mapa final'!$A$10),"")</f>
        <v/>
      </c>
      <c r="Q38" s="361"/>
      <c r="R38" s="361" t="str">
        <f>IF(AND('Mapa final'!$H$11="Muy Baja",'Mapa final'!$L$11="Menor"),CONCATENATE("R",'Mapa final'!$A$11),"")</f>
        <v/>
      </c>
      <c r="S38" s="361"/>
      <c r="T38" s="361" t="e">
        <f>IF(AND('Mapa final'!#REF!="Muy Baja",'Mapa final'!#REF!="Menor"),CONCATENATE("R",'Mapa final'!#REF!),"")</f>
        <v>#REF!</v>
      </c>
      <c r="U38" s="362"/>
      <c r="V38" s="351" t="str">
        <f>IF(AND('Mapa final'!$H$10="Muy Baja",'Mapa final'!$L$10="Moderado"),CONCATENATE("R",'Mapa final'!$A$10),"")</f>
        <v/>
      </c>
      <c r="W38" s="352"/>
      <c r="X38" s="352" t="str">
        <f>IF(AND('Mapa final'!$H$11="Muy Baja",'Mapa final'!$L$11="Moderado"),CONCATENATE("R",'Mapa final'!$A$11),"")</f>
        <v/>
      </c>
      <c r="Y38" s="352"/>
      <c r="Z38" s="352" t="e">
        <f>IF(AND('Mapa final'!#REF!="Muy Baja",'Mapa final'!#REF!="Moderado"),CONCATENATE("R",'Mapa final'!#REF!),"")</f>
        <v>#REF!</v>
      </c>
      <c r="AA38" s="353"/>
      <c r="AB38" s="326" t="str">
        <f>IF(AND('Mapa final'!$H$10="Muy Baja",'Mapa final'!$L$10="Mayor"),CONCATENATE("R",'Mapa final'!$A$10),"")</f>
        <v/>
      </c>
      <c r="AC38" s="327"/>
      <c r="AD38" s="327" t="str">
        <f>IF(AND('Mapa final'!$H$11="Muy Baja",'Mapa final'!$L$11="Mayor"),CONCATENATE("R",'Mapa final'!$A$11),"")</f>
        <v/>
      </c>
      <c r="AE38" s="327"/>
      <c r="AF38" s="327" t="e">
        <f>IF(AND('Mapa final'!#REF!="Muy Baja",'Mapa final'!#REF!="Mayor"),CONCATENATE("R",'Mapa final'!#REF!),"")</f>
        <v>#REF!</v>
      </c>
      <c r="AG38" s="329"/>
      <c r="AH38" s="342" t="str">
        <f>IF(AND('Mapa final'!$H$10="Muy Baja",'Mapa final'!$L$10="Catastrófico"),CONCATENATE("R",'Mapa final'!$A$10),"")</f>
        <v/>
      </c>
      <c r="AI38" s="343"/>
      <c r="AJ38" s="343" t="str">
        <f>IF(AND('Mapa final'!$H$11="Muy Baja",'Mapa final'!$L$11="Catastrófico"),CONCATENATE("R",'Mapa final'!$A$11),"")</f>
        <v/>
      </c>
      <c r="AK38" s="343"/>
      <c r="AL38" s="343" t="e">
        <f>IF(AND('Mapa final'!#REF!="Muy Baja",'Mapa final'!#REF!="Catastrófico"),CONCATENATE("R",'Mapa final'!#REF!),"")</f>
        <v>#REF!</v>
      </c>
      <c r="AM38" s="34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4">
      <c r="A39" s="84"/>
      <c r="B39" s="276"/>
      <c r="C39" s="276"/>
      <c r="D39" s="277"/>
      <c r="E39" s="317"/>
      <c r="F39" s="318"/>
      <c r="G39" s="318"/>
      <c r="H39" s="318"/>
      <c r="I39" s="319"/>
      <c r="J39" s="356"/>
      <c r="K39" s="354"/>
      <c r="L39" s="354"/>
      <c r="M39" s="354"/>
      <c r="N39" s="354"/>
      <c r="O39" s="355"/>
      <c r="P39" s="356"/>
      <c r="Q39" s="354"/>
      <c r="R39" s="354"/>
      <c r="S39" s="354"/>
      <c r="T39" s="354"/>
      <c r="U39" s="355"/>
      <c r="V39" s="345"/>
      <c r="W39" s="346"/>
      <c r="X39" s="346"/>
      <c r="Y39" s="346"/>
      <c r="Z39" s="346"/>
      <c r="AA39" s="347"/>
      <c r="AB39" s="328"/>
      <c r="AC39" s="325"/>
      <c r="AD39" s="325"/>
      <c r="AE39" s="325"/>
      <c r="AF39" s="325"/>
      <c r="AG39" s="324"/>
      <c r="AH39" s="336"/>
      <c r="AI39" s="337"/>
      <c r="AJ39" s="337"/>
      <c r="AK39" s="337"/>
      <c r="AL39" s="337"/>
      <c r="AM39" s="338"/>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4">
      <c r="A40" s="84"/>
      <c r="B40" s="276"/>
      <c r="C40" s="276"/>
      <c r="D40" s="277"/>
      <c r="E40" s="317"/>
      <c r="F40" s="318"/>
      <c r="G40" s="318"/>
      <c r="H40" s="318"/>
      <c r="I40" s="319"/>
      <c r="J40" s="356" t="str">
        <f>IF(AND('Mapa final'!$H$13="Muy Baja",'Mapa final'!$L$13="Leve"),CONCATENATE("R",'Mapa final'!$A$13),"")</f>
        <v/>
      </c>
      <c r="K40" s="354"/>
      <c r="L40" s="354" t="str">
        <f ca="1">IF(AND('Mapa final'!$H$14="Muy Baja",'Mapa final'!$L$14="Leve"),CONCATENATE("R",'Mapa final'!$A$14),"")</f>
        <v/>
      </c>
      <c r="M40" s="354"/>
      <c r="N40" s="354" t="str">
        <f ca="1">IF(AND('Mapa final'!$H$20="Muy Baja",'Mapa final'!$L$20="Leve"),CONCATENATE("R",'Mapa final'!$A$20),"")</f>
        <v/>
      </c>
      <c r="O40" s="355"/>
      <c r="P40" s="356" t="str">
        <f>IF(AND('Mapa final'!$H$13="Muy Baja",'Mapa final'!$L$13="Menor"),CONCATENATE("R",'Mapa final'!$A$13),"")</f>
        <v/>
      </c>
      <c r="Q40" s="354"/>
      <c r="R40" s="354" t="str">
        <f ca="1">IF(AND('Mapa final'!$H$14="Muy Baja",'Mapa final'!$L$14="Menor"),CONCATENATE("R",'Mapa final'!$A$14),"")</f>
        <v/>
      </c>
      <c r="S40" s="354"/>
      <c r="T40" s="354" t="str">
        <f ca="1">IF(AND('Mapa final'!$H$20="Muy Baja",'Mapa final'!$L$20="Menor"),CONCATENATE("R",'Mapa final'!$A$20),"")</f>
        <v/>
      </c>
      <c r="U40" s="355"/>
      <c r="V40" s="345" t="str">
        <f>IF(AND('Mapa final'!$H$13="Muy Baja",'Mapa final'!$L$13="Moderado"),CONCATENATE("R",'Mapa final'!$A$13),"")</f>
        <v/>
      </c>
      <c r="W40" s="346"/>
      <c r="X40" s="346" t="str">
        <f ca="1">IF(AND('Mapa final'!$H$14="Muy Baja",'Mapa final'!$L$14="Moderado"),CONCATENATE("R",'Mapa final'!$A$14),"")</f>
        <v/>
      </c>
      <c r="Y40" s="346"/>
      <c r="Z40" s="346" t="str">
        <f ca="1">IF(AND('Mapa final'!$H$20="Muy Baja",'Mapa final'!$L$20="Moderado"),CONCATENATE("R",'Mapa final'!$A$20),"")</f>
        <v/>
      </c>
      <c r="AA40" s="347"/>
      <c r="AB40" s="328" t="str">
        <f>IF(AND('Mapa final'!$H$13="Muy Baja",'Mapa final'!$L$13="Mayor"),CONCATENATE("R",'Mapa final'!$A$13),"")</f>
        <v/>
      </c>
      <c r="AC40" s="325"/>
      <c r="AD40" s="323" t="str">
        <f ca="1">IF(AND('Mapa final'!$H$14="Muy Baja",'Mapa final'!$L$14="Mayor"),CONCATENATE("R",'Mapa final'!$A$14),"")</f>
        <v/>
      </c>
      <c r="AE40" s="323"/>
      <c r="AF40" s="323" t="str">
        <f ca="1">IF(AND('Mapa final'!$H$20="Muy Baja",'Mapa final'!$L$20="Mayor"),CONCATENATE("R",'Mapa final'!$A$20),"")</f>
        <v/>
      </c>
      <c r="AG40" s="324"/>
      <c r="AH40" s="336" t="str">
        <f>IF(AND('Mapa final'!$H$13="Muy Baja",'Mapa final'!$L$13="Catastrófico"),CONCATENATE("R",'Mapa final'!$A$13),"")</f>
        <v/>
      </c>
      <c r="AI40" s="337"/>
      <c r="AJ40" s="337" t="str">
        <f ca="1">IF(AND('Mapa final'!$H$14="Muy Baja",'Mapa final'!$L$14="Catastrófico"),CONCATENATE("R",'Mapa final'!$A$14),"")</f>
        <v/>
      </c>
      <c r="AK40" s="337"/>
      <c r="AL40" s="337" t="str">
        <f ca="1">IF(AND('Mapa final'!$H$20="Muy Baja",'Mapa final'!$L$20="Catastrófico"),CONCATENATE("R",'Mapa final'!$A$20),"")</f>
        <v/>
      </c>
      <c r="AM40" s="338"/>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4">
      <c r="A41" s="84"/>
      <c r="B41" s="276"/>
      <c r="C41" s="276"/>
      <c r="D41" s="277"/>
      <c r="E41" s="317"/>
      <c r="F41" s="318"/>
      <c r="G41" s="318"/>
      <c r="H41" s="318"/>
      <c r="I41" s="319"/>
      <c r="J41" s="356"/>
      <c r="K41" s="354"/>
      <c r="L41" s="354"/>
      <c r="M41" s="354"/>
      <c r="N41" s="354"/>
      <c r="O41" s="355"/>
      <c r="P41" s="356"/>
      <c r="Q41" s="354"/>
      <c r="R41" s="354"/>
      <c r="S41" s="354"/>
      <c r="T41" s="354"/>
      <c r="U41" s="355"/>
      <c r="V41" s="345"/>
      <c r="W41" s="346"/>
      <c r="X41" s="346"/>
      <c r="Y41" s="346"/>
      <c r="Z41" s="346"/>
      <c r="AA41" s="347"/>
      <c r="AB41" s="328"/>
      <c r="AC41" s="325"/>
      <c r="AD41" s="323"/>
      <c r="AE41" s="323"/>
      <c r="AF41" s="323"/>
      <c r="AG41" s="324"/>
      <c r="AH41" s="336"/>
      <c r="AI41" s="337"/>
      <c r="AJ41" s="337"/>
      <c r="AK41" s="337"/>
      <c r="AL41" s="337"/>
      <c r="AM41" s="338"/>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4">
      <c r="A42" s="84"/>
      <c r="B42" s="276"/>
      <c r="C42" s="276"/>
      <c r="D42" s="277"/>
      <c r="E42" s="317"/>
      <c r="F42" s="318"/>
      <c r="G42" s="318"/>
      <c r="H42" s="318"/>
      <c r="I42" s="319"/>
      <c r="J42" s="356" t="str">
        <f ca="1">IF(AND('Mapa final'!$H$26="Muy Baja",'Mapa final'!$L$26="Leve"),CONCATENATE("R",'Mapa final'!$A$26),"")</f>
        <v/>
      </c>
      <c r="K42" s="354"/>
      <c r="L42" s="354" t="str">
        <f ca="1">IF(AND('Mapa final'!$H$32="Muy Baja",'Mapa final'!$L$32="Leve"),CONCATENATE("R",'Mapa final'!$A$32),"")</f>
        <v/>
      </c>
      <c r="M42" s="354"/>
      <c r="N42" s="354" t="str">
        <f ca="1">IF(AND('Mapa final'!$H$38="Muy Baja",'Mapa final'!$L$38="Leve"),CONCATENATE("R",'Mapa final'!$A$38),"")</f>
        <v/>
      </c>
      <c r="O42" s="355"/>
      <c r="P42" s="356" t="str">
        <f ca="1">IF(AND('Mapa final'!$H$26="Muy Baja",'Mapa final'!$L$26="Menor"),CONCATENATE("R",'Mapa final'!$A$26),"")</f>
        <v/>
      </c>
      <c r="Q42" s="354"/>
      <c r="R42" s="354" t="str">
        <f ca="1">IF(AND('Mapa final'!$H$32="Muy Baja",'Mapa final'!$L$32="Menor"),CONCATENATE("R",'Mapa final'!$A$32),"")</f>
        <v/>
      </c>
      <c r="S42" s="354"/>
      <c r="T42" s="354" t="str">
        <f ca="1">IF(AND('Mapa final'!$H$38="Muy Baja",'Mapa final'!$L$38="Menor"),CONCATENATE("R",'Mapa final'!$A$38),"")</f>
        <v/>
      </c>
      <c r="U42" s="355"/>
      <c r="V42" s="345" t="str">
        <f ca="1">IF(AND('Mapa final'!$H$26="Muy Baja",'Mapa final'!$L$26="Moderado"),CONCATENATE("R",'Mapa final'!$A$26),"")</f>
        <v/>
      </c>
      <c r="W42" s="346"/>
      <c r="X42" s="346" t="str">
        <f ca="1">IF(AND('Mapa final'!$H$32="Muy Baja",'Mapa final'!$L$32="Moderado"),CONCATENATE("R",'Mapa final'!$A$32),"")</f>
        <v/>
      </c>
      <c r="Y42" s="346"/>
      <c r="Z42" s="346" t="str">
        <f ca="1">IF(AND('Mapa final'!$H$38="Muy Baja",'Mapa final'!$L$38="Moderado"),CONCATENATE("R",'Mapa final'!$A$38),"")</f>
        <v/>
      </c>
      <c r="AA42" s="347"/>
      <c r="AB42" s="328" t="str">
        <f ca="1">IF(AND('Mapa final'!$H$26="Muy Baja",'Mapa final'!$L$26="Mayor"),CONCATENATE("R",'Mapa final'!$A$26),"")</f>
        <v/>
      </c>
      <c r="AC42" s="325"/>
      <c r="AD42" s="323" t="str">
        <f ca="1">IF(AND('Mapa final'!$H$32="Muy Baja",'Mapa final'!$L$32="Mayor"),CONCATENATE("R",'Mapa final'!$A$32),"")</f>
        <v/>
      </c>
      <c r="AE42" s="323"/>
      <c r="AF42" s="323" t="str">
        <f ca="1">IF(AND('Mapa final'!$H$38="Muy Baja",'Mapa final'!$L$38="Mayor"),CONCATENATE("R",'Mapa final'!$A$38),"")</f>
        <v/>
      </c>
      <c r="AG42" s="324"/>
      <c r="AH42" s="336" t="str">
        <f ca="1">IF(AND('Mapa final'!$H$26="Muy Baja",'Mapa final'!$L$26="Catastrófico"),CONCATENATE("R",'Mapa final'!$A$26),"")</f>
        <v/>
      </c>
      <c r="AI42" s="337"/>
      <c r="AJ42" s="337" t="str">
        <f ca="1">IF(AND('Mapa final'!$H$32="Muy Baja",'Mapa final'!$L$32="Catastrófico"),CONCATENATE("R",'Mapa final'!$A$32),"")</f>
        <v/>
      </c>
      <c r="AK42" s="337"/>
      <c r="AL42" s="337" t="str">
        <f ca="1">IF(AND('Mapa final'!$H$38="Muy Baja",'Mapa final'!$L$38="Catastrófico"),CONCATENATE("R",'Mapa final'!$A$38),"")</f>
        <v/>
      </c>
      <c r="AM42" s="338"/>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4">
      <c r="A43" s="84"/>
      <c r="B43" s="276"/>
      <c r="C43" s="276"/>
      <c r="D43" s="277"/>
      <c r="E43" s="317"/>
      <c r="F43" s="318"/>
      <c r="G43" s="318"/>
      <c r="H43" s="318"/>
      <c r="I43" s="319"/>
      <c r="J43" s="356"/>
      <c r="K43" s="354"/>
      <c r="L43" s="354"/>
      <c r="M43" s="354"/>
      <c r="N43" s="354"/>
      <c r="O43" s="355"/>
      <c r="P43" s="356"/>
      <c r="Q43" s="354"/>
      <c r="R43" s="354"/>
      <c r="S43" s="354"/>
      <c r="T43" s="354"/>
      <c r="U43" s="355"/>
      <c r="V43" s="345"/>
      <c r="W43" s="346"/>
      <c r="X43" s="346"/>
      <c r="Y43" s="346"/>
      <c r="Z43" s="346"/>
      <c r="AA43" s="347"/>
      <c r="AB43" s="328"/>
      <c r="AC43" s="325"/>
      <c r="AD43" s="323"/>
      <c r="AE43" s="323"/>
      <c r="AF43" s="323"/>
      <c r="AG43" s="324"/>
      <c r="AH43" s="336"/>
      <c r="AI43" s="337"/>
      <c r="AJ43" s="337"/>
      <c r="AK43" s="337"/>
      <c r="AL43" s="337"/>
      <c r="AM43" s="338"/>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4">
      <c r="A44" s="84"/>
      <c r="B44" s="276"/>
      <c r="C44" s="276"/>
      <c r="D44" s="277"/>
      <c r="E44" s="317"/>
      <c r="F44" s="318"/>
      <c r="G44" s="318"/>
      <c r="H44" s="318"/>
      <c r="I44" s="319"/>
      <c r="J44" s="356" t="str">
        <f ca="1">IF(AND('Mapa final'!$H$44="Muy Baja",'Mapa final'!$L$44="Leve"),CONCATENATE("R",'Mapa final'!$A$44),"")</f>
        <v/>
      </c>
      <c r="K44" s="354"/>
      <c r="L44" s="354" t="str">
        <f>IF(AND('Mapa final'!$H$50="Muy Baja",'Mapa final'!$L$50="Leve"),CONCATENATE("R",'Mapa final'!$A$50),"")</f>
        <v/>
      </c>
      <c r="M44" s="354"/>
      <c r="N44" s="354" t="str">
        <f>IF(AND('Mapa final'!$H$56="Muy Baja",'Mapa final'!$L$56="Leve"),CONCATENATE("R",'Mapa final'!$A$56),"")</f>
        <v/>
      </c>
      <c r="O44" s="355"/>
      <c r="P44" s="356" t="str">
        <f ca="1">IF(AND('Mapa final'!$H$44="Muy Baja",'Mapa final'!$L$44="Menor"),CONCATENATE("R",'Mapa final'!$A$44),"")</f>
        <v/>
      </c>
      <c r="Q44" s="354"/>
      <c r="R44" s="354" t="str">
        <f>IF(AND('Mapa final'!$H$50="Muy Baja",'Mapa final'!$L$50="Menor"),CONCATENATE("R",'Mapa final'!$A$50),"")</f>
        <v/>
      </c>
      <c r="S44" s="354"/>
      <c r="T44" s="354" t="str">
        <f>IF(AND('Mapa final'!$H$56="Muy Baja",'Mapa final'!$L$56="Menor"),CONCATENATE("R",'Mapa final'!$A$56),"")</f>
        <v/>
      </c>
      <c r="U44" s="355"/>
      <c r="V44" s="345" t="str">
        <f ca="1">IF(AND('Mapa final'!$H$44="Muy Baja",'Mapa final'!$L$44="Moderado"),CONCATENATE("R",'Mapa final'!$A$44),"")</f>
        <v/>
      </c>
      <c r="W44" s="346"/>
      <c r="X44" s="346" t="str">
        <f>IF(AND('Mapa final'!$H$50="Muy Baja",'Mapa final'!$L$50="Moderado"),CONCATENATE("R",'Mapa final'!$A$50),"")</f>
        <v/>
      </c>
      <c r="Y44" s="346"/>
      <c r="Z44" s="346" t="str">
        <f>IF(AND('Mapa final'!$H$56="Muy Baja",'Mapa final'!$L$56="Moderado"),CONCATENATE("R",'Mapa final'!$A$56),"")</f>
        <v/>
      </c>
      <c r="AA44" s="347"/>
      <c r="AB44" s="328" t="str">
        <f ca="1">IF(AND('Mapa final'!$H$44="Muy Baja",'Mapa final'!$L$44="Mayor"),CONCATENATE("R",'Mapa final'!$A$44),"")</f>
        <v/>
      </c>
      <c r="AC44" s="325"/>
      <c r="AD44" s="323" t="str">
        <f>IF(AND('Mapa final'!$H$50="Muy Baja",'Mapa final'!$L$50="Mayor"),CONCATENATE("R",'Mapa final'!$A$50),"")</f>
        <v/>
      </c>
      <c r="AE44" s="323"/>
      <c r="AF44" s="323" t="str">
        <f>IF(AND('Mapa final'!$H$56="Muy Baja",'Mapa final'!$L$56="Mayor"),CONCATENATE("R",'Mapa final'!$A$56),"")</f>
        <v/>
      </c>
      <c r="AG44" s="324"/>
      <c r="AH44" s="336" t="str">
        <f ca="1">IF(AND('Mapa final'!$H$44="Muy Baja",'Mapa final'!$L$44="Catastrófico"),CONCATENATE("R",'Mapa final'!$A$44),"")</f>
        <v/>
      </c>
      <c r="AI44" s="337"/>
      <c r="AJ44" s="337" t="str">
        <f>IF(AND('Mapa final'!$H$50="Muy Baja",'Mapa final'!$L$50="Catastrófico"),CONCATENATE("R",'Mapa final'!$A$50),"")</f>
        <v/>
      </c>
      <c r="AK44" s="337"/>
      <c r="AL44" s="337" t="str">
        <f>IF(AND('Mapa final'!$H$56="Muy Baja",'Mapa final'!$L$56="Catastrófico"),CONCATENATE("R",'Mapa final'!$A$56),"")</f>
        <v/>
      </c>
      <c r="AM44" s="338"/>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 thickBot="1" x14ac:dyDescent="0.45">
      <c r="A45" s="84"/>
      <c r="B45" s="276"/>
      <c r="C45" s="276"/>
      <c r="D45" s="277"/>
      <c r="E45" s="320"/>
      <c r="F45" s="321"/>
      <c r="G45" s="321"/>
      <c r="H45" s="321"/>
      <c r="I45" s="322"/>
      <c r="J45" s="357"/>
      <c r="K45" s="358"/>
      <c r="L45" s="358"/>
      <c r="M45" s="358"/>
      <c r="N45" s="358"/>
      <c r="O45" s="359"/>
      <c r="P45" s="357"/>
      <c r="Q45" s="358"/>
      <c r="R45" s="358"/>
      <c r="S45" s="358"/>
      <c r="T45" s="358"/>
      <c r="U45" s="359"/>
      <c r="V45" s="348"/>
      <c r="W45" s="349"/>
      <c r="X45" s="349"/>
      <c r="Y45" s="349"/>
      <c r="Z45" s="349"/>
      <c r="AA45" s="350"/>
      <c r="AB45" s="333"/>
      <c r="AC45" s="334"/>
      <c r="AD45" s="334"/>
      <c r="AE45" s="334"/>
      <c r="AF45" s="334"/>
      <c r="AG45" s="335"/>
      <c r="AH45" s="339"/>
      <c r="AI45" s="340"/>
      <c r="AJ45" s="340"/>
      <c r="AK45" s="340"/>
      <c r="AL45" s="340"/>
      <c r="AM45" s="341"/>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4">
      <c r="A46" s="84"/>
      <c r="B46" s="84"/>
      <c r="C46" s="84"/>
      <c r="D46" s="84"/>
      <c r="E46" s="84"/>
      <c r="F46" s="84"/>
      <c r="G46" s="84"/>
      <c r="H46" s="84"/>
      <c r="I46" s="84"/>
      <c r="J46" s="314" t="s">
        <v>112</v>
      </c>
      <c r="K46" s="315"/>
      <c r="L46" s="315"/>
      <c r="M46" s="315"/>
      <c r="N46" s="315"/>
      <c r="O46" s="316"/>
      <c r="P46" s="314" t="s">
        <v>111</v>
      </c>
      <c r="Q46" s="315"/>
      <c r="R46" s="315"/>
      <c r="S46" s="315"/>
      <c r="T46" s="315"/>
      <c r="U46" s="316"/>
      <c r="V46" s="314" t="s">
        <v>110</v>
      </c>
      <c r="W46" s="315"/>
      <c r="X46" s="315"/>
      <c r="Y46" s="315"/>
      <c r="Z46" s="315"/>
      <c r="AA46" s="316"/>
      <c r="AB46" s="314" t="s">
        <v>109</v>
      </c>
      <c r="AC46" s="332"/>
      <c r="AD46" s="315"/>
      <c r="AE46" s="315"/>
      <c r="AF46" s="315"/>
      <c r="AG46" s="316"/>
      <c r="AH46" s="314" t="s">
        <v>108</v>
      </c>
      <c r="AI46" s="315"/>
      <c r="AJ46" s="315"/>
      <c r="AK46" s="315"/>
      <c r="AL46" s="315"/>
      <c r="AM46" s="316"/>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4">
      <c r="A47" s="84"/>
      <c r="B47" s="84"/>
      <c r="C47" s="84"/>
      <c r="D47" s="84"/>
      <c r="E47" s="84"/>
      <c r="F47" s="84"/>
      <c r="G47" s="84"/>
      <c r="H47" s="84"/>
      <c r="I47" s="84"/>
      <c r="J47" s="317"/>
      <c r="K47" s="318"/>
      <c r="L47" s="318"/>
      <c r="M47" s="318"/>
      <c r="N47" s="318"/>
      <c r="O47" s="319"/>
      <c r="P47" s="317"/>
      <c r="Q47" s="318"/>
      <c r="R47" s="318"/>
      <c r="S47" s="318"/>
      <c r="T47" s="318"/>
      <c r="U47" s="319"/>
      <c r="V47" s="317"/>
      <c r="W47" s="318"/>
      <c r="X47" s="318"/>
      <c r="Y47" s="318"/>
      <c r="Z47" s="318"/>
      <c r="AA47" s="319"/>
      <c r="AB47" s="317"/>
      <c r="AC47" s="318"/>
      <c r="AD47" s="318"/>
      <c r="AE47" s="318"/>
      <c r="AF47" s="318"/>
      <c r="AG47" s="319"/>
      <c r="AH47" s="317"/>
      <c r="AI47" s="318"/>
      <c r="AJ47" s="318"/>
      <c r="AK47" s="318"/>
      <c r="AL47" s="318"/>
      <c r="AM47" s="319"/>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4">
      <c r="A48" s="84"/>
      <c r="B48" s="84"/>
      <c r="C48" s="84"/>
      <c r="D48" s="84"/>
      <c r="E48" s="84"/>
      <c r="F48" s="84"/>
      <c r="G48" s="84"/>
      <c r="H48" s="84"/>
      <c r="I48" s="84"/>
      <c r="J48" s="317"/>
      <c r="K48" s="318"/>
      <c r="L48" s="318"/>
      <c r="M48" s="318"/>
      <c r="N48" s="318"/>
      <c r="O48" s="319"/>
      <c r="P48" s="317"/>
      <c r="Q48" s="318"/>
      <c r="R48" s="318"/>
      <c r="S48" s="318"/>
      <c r="T48" s="318"/>
      <c r="U48" s="319"/>
      <c r="V48" s="317"/>
      <c r="W48" s="318"/>
      <c r="X48" s="318"/>
      <c r="Y48" s="318"/>
      <c r="Z48" s="318"/>
      <c r="AA48" s="319"/>
      <c r="AB48" s="317"/>
      <c r="AC48" s="318"/>
      <c r="AD48" s="318"/>
      <c r="AE48" s="318"/>
      <c r="AF48" s="318"/>
      <c r="AG48" s="319"/>
      <c r="AH48" s="317"/>
      <c r="AI48" s="318"/>
      <c r="AJ48" s="318"/>
      <c r="AK48" s="318"/>
      <c r="AL48" s="318"/>
      <c r="AM48" s="319"/>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4">
      <c r="A49" s="84"/>
      <c r="B49" s="84"/>
      <c r="C49" s="84"/>
      <c r="D49" s="84"/>
      <c r="E49" s="84"/>
      <c r="F49" s="84"/>
      <c r="G49" s="84"/>
      <c r="H49" s="84"/>
      <c r="I49" s="84"/>
      <c r="J49" s="317"/>
      <c r="K49" s="318"/>
      <c r="L49" s="318"/>
      <c r="M49" s="318"/>
      <c r="N49" s="318"/>
      <c r="O49" s="319"/>
      <c r="P49" s="317"/>
      <c r="Q49" s="318"/>
      <c r="R49" s="318"/>
      <c r="S49" s="318"/>
      <c r="T49" s="318"/>
      <c r="U49" s="319"/>
      <c r="V49" s="317"/>
      <c r="W49" s="318"/>
      <c r="X49" s="318"/>
      <c r="Y49" s="318"/>
      <c r="Z49" s="318"/>
      <c r="AA49" s="319"/>
      <c r="AB49" s="317"/>
      <c r="AC49" s="318"/>
      <c r="AD49" s="318"/>
      <c r="AE49" s="318"/>
      <c r="AF49" s="318"/>
      <c r="AG49" s="319"/>
      <c r="AH49" s="317"/>
      <c r="AI49" s="318"/>
      <c r="AJ49" s="318"/>
      <c r="AK49" s="318"/>
      <c r="AL49" s="318"/>
      <c r="AM49" s="319"/>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4">
      <c r="A50" s="84"/>
      <c r="B50" s="84"/>
      <c r="C50" s="84"/>
      <c r="D50" s="84"/>
      <c r="E50" s="84"/>
      <c r="F50" s="84"/>
      <c r="G50" s="84"/>
      <c r="H50" s="84"/>
      <c r="I50" s="84"/>
      <c r="J50" s="317"/>
      <c r="K50" s="318"/>
      <c r="L50" s="318"/>
      <c r="M50" s="318"/>
      <c r="N50" s="318"/>
      <c r="O50" s="319"/>
      <c r="P50" s="317"/>
      <c r="Q50" s="318"/>
      <c r="R50" s="318"/>
      <c r="S50" s="318"/>
      <c r="T50" s="318"/>
      <c r="U50" s="319"/>
      <c r="V50" s="317"/>
      <c r="W50" s="318"/>
      <c r="X50" s="318"/>
      <c r="Y50" s="318"/>
      <c r="Z50" s="318"/>
      <c r="AA50" s="319"/>
      <c r="AB50" s="317"/>
      <c r="AC50" s="318"/>
      <c r="AD50" s="318"/>
      <c r="AE50" s="318"/>
      <c r="AF50" s="318"/>
      <c r="AG50" s="319"/>
      <c r="AH50" s="317"/>
      <c r="AI50" s="318"/>
      <c r="AJ50" s="318"/>
      <c r="AK50" s="318"/>
      <c r="AL50" s="318"/>
      <c r="AM50" s="319"/>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thickBot="1" x14ac:dyDescent="0.45">
      <c r="A51" s="84"/>
      <c r="B51" s="84"/>
      <c r="C51" s="84"/>
      <c r="D51" s="84"/>
      <c r="E51" s="84"/>
      <c r="F51" s="84"/>
      <c r="G51" s="84"/>
      <c r="H51" s="84"/>
      <c r="I51" s="84"/>
      <c r="J51" s="320"/>
      <c r="K51" s="321"/>
      <c r="L51" s="321"/>
      <c r="M51" s="321"/>
      <c r="N51" s="321"/>
      <c r="O51" s="322"/>
      <c r="P51" s="320"/>
      <c r="Q51" s="321"/>
      <c r="R51" s="321"/>
      <c r="S51" s="321"/>
      <c r="T51" s="321"/>
      <c r="U51" s="322"/>
      <c r="V51" s="320"/>
      <c r="W51" s="321"/>
      <c r="X51" s="321"/>
      <c r="Y51" s="321"/>
      <c r="Z51" s="321"/>
      <c r="AA51" s="322"/>
      <c r="AB51" s="320"/>
      <c r="AC51" s="321"/>
      <c r="AD51" s="321"/>
      <c r="AE51" s="321"/>
      <c r="AF51" s="321"/>
      <c r="AG51" s="322"/>
      <c r="AH51" s="320"/>
      <c r="AI51" s="321"/>
      <c r="AJ51" s="321"/>
      <c r="AK51" s="321"/>
      <c r="AL51" s="321"/>
      <c r="AM51" s="322"/>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4">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4">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4">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4">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4">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4">
      <c r="B137" s="84"/>
      <c r="C137" s="84"/>
      <c r="D137" s="84"/>
      <c r="E137" s="84"/>
      <c r="F137" s="84"/>
      <c r="G137" s="84"/>
      <c r="H137" s="84"/>
      <c r="I137" s="84"/>
    </row>
    <row r="138" spans="2:63" x14ac:dyDescent="0.4">
      <c r="B138" s="84"/>
      <c r="C138" s="84"/>
      <c r="D138" s="84"/>
      <c r="E138" s="84"/>
      <c r="F138" s="84"/>
      <c r="G138" s="84"/>
      <c r="H138" s="84"/>
      <c r="I138" s="84"/>
    </row>
    <row r="139" spans="2:63" x14ac:dyDescent="0.4">
      <c r="B139" s="84"/>
      <c r="C139" s="84"/>
      <c r="D139" s="84"/>
      <c r="E139" s="84"/>
      <c r="F139" s="84"/>
      <c r="G139" s="84"/>
      <c r="H139" s="84"/>
      <c r="I139" s="84"/>
    </row>
    <row r="140" spans="2:63" x14ac:dyDescent="0.4">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8" zoomScale="50" zoomScaleNormal="50" workbookViewId="0">
      <selection activeCell="AC19" sqref="AC19"/>
    </sheetView>
  </sheetViews>
  <sheetFormatPr baseColWidth="10" defaultRowHeight="14.6" x14ac:dyDescent="0.4"/>
  <cols>
    <col min="2" max="18" width="5.69140625" customWidth="1"/>
    <col min="19" max="19" width="8.3828125" customWidth="1"/>
    <col min="20" max="23" width="5.69140625" customWidth="1"/>
    <col min="24" max="24" width="8.53515625" customWidth="1"/>
    <col min="25" max="26" width="5.69140625" customWidth="1"/>
    <col min="27" max="27" width="10.69140625" customWidth="1"/>
    <col min="28" max="28" width="5.69140625" customWidth="1"/>
    <col min="29" max="29" width="7.3828125" customWidth="1"/>
    <col min="30" max="33" width="5.69140625" customWidth="1"/>
    <col min="34" max="34" width="8.53515625" customWidth="1"/>
    <col min="35" max="39" width="5.69140625" customWidth="1"/>
    <col min="41" max="46" width="5.69140625" customWidth="1"/>
  </cols>
  <sheetData>
    <row r="1" spans="1:91"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4">
      <c r="A2" s="84"/>
      <c r="B2" s="390" t="s">
        <v>160</v>
      </c>
      <c r="C2" s="391"/>
      <c r="D2" s="391"/>
      <c r="E2" s="391"/>
      <c r="F2" s="391"/>
      <c r="G2" s="391"/>
      <c r="H2" s="391"/>
      <c r="I2" s="391"/>
      <c r="J2" s="330" t="s">
        <v>2</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4">
      <c r="A3" s="84"/>
      <c r="B3" s="391"/>
      <c r="C3" s="391"/>
      <c r="D3" s="391"/>
      <c r="E3" s="391"/>
      <c r="F3" s="391"/>
      <c r="G3" s="391"/>
      <c r="H3" s="391"/>
      <c r="I3" s="391"/>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4">
      <c r="A4" s="84"/>
      <c r="B4" s="391"/>
      <c r="C4" s="391"/>
      <c r="D4" s="391"/>
      <c r="E4" s="391"/>
      <c r="F4" s="391"/>
      <c r="G4" s="391"/>
      <c r="H4" s="391"/>
      <c r="I4" s="391"/>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45">
      <c r="A6" s="84"/>
      <c r="B6" s="276" t="s">
        <v>4</v>
      </c>
      <c r="C6" s="276"/>
      <c r="D6" s="277"/>
      <c r="E6" s="373" t="s">
        <v>116</v>
      </c>
      <c r="F6" s="374"/>
      <c r="G6" s="374"/>
      <c r="H6" s="374"/>
      <c r="I6" s="392"/>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381" t="s">
        <v>79</v>
      </c>
      <c r="AP6" s="382"/>
      <c r="AQ6" s="382"/>
      <c r="AR6" s="382"/>
      <c r="AS6" s="382"/>
      <c r="AT6" s="38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45">
      <c r="A7" s="84"/>
      <c r="B7" s="276"/>
      <c r="C7" s="276"/>
      <c r="D7" s="277"/>
      <c r="E7" s="377"/>
      <c r="F7" s="378"/>
      <c r="G7" s="378"/>
      <c r="H7" s="378"/>
      <c r="I7" s="393"/>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384"/>
      <c r="AP7" s="385"/>
      <c r="AQ7" s="385"/>
      <c r="AR7" s="385"/>
      <c r="AS7" s="385"/>
      <c r="AT7" s="38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45">
      <c r="A8" s="84"/>
      <c r="B8" s="276"/>
      <c r="C8" s="276"/>
      <c r="D8" s="277"/>
      <c r="E8" s="377"/>
      <c r="F8" s="378"/>
      <c r="G8" s="378"/>
      <c r="H8" s="378"/>
      <c r="I8" s="393"/>
      <c r="J8" s="52" t="e">
        <f>IF(AND('Mapa final'!#REF!="Muy Alta",'Mapa final'!#REF!="Leve"),CONCATENATE("R3C",'Mapa final'!#REF!),"")</f>
        <v>#REF!</v>
      </c>
      <c r="K8" s="53" t="str">
        <f>IF(AND('Mapa final'!$Y$12="Muy Alta",'Mapa final'!$AA$12="Leve"),CONCATENATE("R3C",'Mapa final'!$O$12),"")</f>
        <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e">
        <f>IF(AND('Mapa final'!#REF!="Muy Alta",'Mapa final'!#REF!="Menor"),CONCATENATE("R3C",'Mapa final'!#REF!),"")</f>
        <v>#REF!</v>
      </c>
      <c r="Q8" s="53" t="str">
        <f>IF(AND('Mapa final'!$Y$12="Muy Alta",'Mapa final'!$AA$12="Menor"),CONCATENATE("R3C",'Mapa final'!$O$12),"")</f>
        <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e">
        <f>IF(AND('Mapa final'!#REF!="Muy Alta",'Mapa final'!#REF!="Moderado"),CONCATENATE("R3C",'Mapa final'!#REF!),"")</f>
        <v>#REF!</v>
      </c>
      <c r="W8" s="53" t="str">
        <f>IF(AND('Mapa final'!$Y$12="Muy Alta",'Mapa final'!$AA$12="Moderado"),CONCATENATE("R3C",'Mapa final'!$O$12),"")</f>
        <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e">
        <f>IF(AND('Mapa final'!#REF!="Muy Alta",'Mapa final'!#REF!="Mayor"),CONCATENATE("R3C",'Mapa final'!#REF!),"")</f>
        <v>#REF!</v>
      </c>
      <c r="AC8" s="53" t="str">
        <f>IF(AND('Mapa final'!$Y$12="Muy Alta",'Mapa final'!$AA$12="Mayor"),CONCATENATE("R3C",'Mapa final'!$O$12),"")</f>
        <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e">
        <f>IF(AND('Mapa final'!#REF!="Muy Alta",'Mapa final'!#REF!="Catastrófico"),CONCATENATE("R3C",'Mapa final'!#REF!),"")</f>
        <v>#REF!</v>
      </c>
      <c r="AI8" s="56" t="str">
        <f>IF(AND('Mapa final'!$Y$12="Muy Alta",'Mapa final'!$AA$12="Catastrófico"),CONCATENATE("R3C",'Mapa final'!$O$12),"")</f>
        <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4"/>
      <c r="AO8" s="384"/>
      <c r="AP8" s="385"/>
      <c r="AQ8" s="385"/>
      <c r="AR8" s="385"/>
      <c r="AS8" s="385"/>
      <c r="AT8" s="38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45">
      <c r="A9" s="84"/>
      <c r="B9" s="276"/>
      <c r="C9" s="276"/>
      <c r="D9" s="277"/>
      <c r="E9" s="377"/>
      <c r="F9" s="378"/>
      <c r="G9" s="378"/>
      <c r="H9" s="378"/>
      <c r="I9" s="393"/>
      <c r="J9" s="52" t="str">
        <f>IF(AND('Mapa final'!$Y$13="Muy Alta",'Mapa final'!$AA$13="Leve"),CONCATENATE("R4C",'Mapa final'!$O$13),"")</f>
        <v/>
      </c>
      <c r="K9" s="53" t="e">
        <f>IF(AND('Mapa final'!#REF!="Muy Alta",'Mapa final'!#REF!="Leve"),CONCATENATE("R4C",'Mapa final'!#REF!),"")</f>
        <v>#REF!</v>
      </c>
      <c r="L9" s="58" t="e">
        <f>IF(AND('Mapa final'!#REF!="Muy Alta",'Mapa final'!#REF!="Leve"),CONCATENATE("R4C",'Mapa final'!#REF!),"")</f>
        <v>#REF!</v>
      </c>
      <c r="M9" s="58" t="e">
        <f>IF(AND('Mapa final'!#REF!="Muy Alta",'Mapa final'!#REF!="Leve"),CONCATENATE("R4C",'Mapa final'!#REF!),"")</f>
        <v>#REF!</v>
      </c>
      <c r="N9" s="58" t="e">
        <f>IF(AND('Mapa final'!#REF!="Muy Alta",'Mapa final'!#REF!="Leve"),CONCATENATE("R4C",'Mapa final'!#REF!),"")</f>
        <v>#REF!</v>
      </c>
      <c r="O9" s="54" t="e">
        <f>IF(AND('Mapa final'!#REF!="Muy Alta",'Mapa final'!#REF!="Leve"),CONCATENATE("R4C",'Mapa final'!#REF!),"")</f>
        <v>#REF!</v>
      </c>
      <c r="P9" s="52" t="str">
        <f>IF(AND('Mapa final'!$Y$13="Muy Alta",'Mapa final'!$AA$13="Menor"),CONCATENATE("R4C",'Mapa final'!$O$13),"")</f>
        <v/>
      </c>
      <c r="Q9" s="53" t="e">
        <f>IF(AND('Mapa final'!#REF!="Muy Alta",'Mapa final'!#REF!="Menor"),CONCATENATE("R4C",'Mapa final'!#REF!),"")</f>
        <v>#REF!</v>
      </c>
      <c r="R9" s="58" t="e">
        <f>IF(AND('Mapa final'!#REF!="Muy Alta",'Mapa final'!#REF!="Menor"),CONCATENATE("R4C",'Mapa final'!#REF!),"")</f>
        <v>#REF!</v>
      </c>
      <c r="S9" s="58" t="e">
        <f>IF(AND('Mapa final'!#REF!="Muy Alta",'Mapa final'!#REF!="Menor"),CONCATENATE("R4C",'Mapa final'!#REF!),"")</f>
        <v>#REF!</v>
      </c>
      <c r="T9" s="58" t="e">
        <f>IF(AND('Mapa final'!#REF!="Muy Alta",'Mapa final'!#REF!="Menor"),CONCATENATE("R4C",'Mapa final'!#REF!),"")</f>
        <v>#REF!</v>
      </c>
      <c r="U9" s="54" t="e">
        <f>IF(AND('Mapa final'!#REF!="Muy Alta",'Mapa final'!#REF!="Menor"),CONCATENATE("R4C",'Mapa final'!#REF!),"")</f>
        <v>#REF!</v>
      </c>
      <c r="V9" s="52" t="str">
        <f>IF(AND('Mapa final'!$Y$13="Muy Alta",'Mapa final'!$AA$13="Moderado"),CONCATENATE("R4C",'Mapa final'!$O$13),"")</f>
        <v/>
      </c>
      <c r="W9" s="53" t="e">
        <f>IF(AND('Mapa final'!#REF!="Muy Alta",'Mapa final'!#REF!="Moderado"),CONCATENATE("R4C",'Mapa final'!#REF!),"")</f>
        <v>#REF!</v>
      </c>
      <c r="X9" s="58" t="e">
        <f>IF(AND('Mapa final'!#REF!="Muy Alta",'Mapa final'!#REF!="Moderado"),CONCATENATE("R4C",'Mapa final'!#REF!),"")</f>
        <v>#REF!</v>
      </c>
      <c r="Y9" s="58" t="e">
        <f>IF(AND('Mapa final'!#REF!="Muy Alta",'Mapa final'!#REF!="Moderado"),CONCATENATE("R4C",'Mapa final'!#REF!),"")</f>
        <v>#REF!</v>
      </c>
      <c r="Z9" s="58" t="e">
        <f>IF(AND('Mapa final'!#REF!="Muy Alta",'Mapa final'!#REF!="Moderado"),CONCATENATE("R4C",'Mapa final'!#REF!),"")</f>
        <v>#REF!</v>
      </c>
      <c r="AA9" s="54" t="e">
        <f>IF(AND('Mapa final'!#REF!="Muy Alta",'Mapa final'!#REF!="Moderado"),CONCATENATE("R4C",'Mapa final'!#REF!),"")</f>
        <v>#REF!</v>
      </c>
      <c r="AB9" s="52" t="str">
        <f>IF(AND('Mapa final'!$Y$13="Muy Alta",'Mapa final'!$AA$13="Mayor"),CONCATENATE("R4C",'Mapa final'!$O$13),"")</f>
        <v/>
      </c>
      <c r="AC9" s="53" t="e">
        <f>IF(AND('Mapa final'!#REF!="Muy Alta",'Mapa final'!#REF!="Mayor"),CONCATENATE("R4C",'Mapa final'!#REF!),"")</f>
        <v>#REF!</v>
      </c>
      <c r="AD9" s="58" t="e">
        <f>IF(AND('Mapa final'!#REF!="Muy Alta",'Mapa final'!#REF!="Mayor"),CONCATENATE("R4C",'Mapa final'!#REF!),"")</f>
        <v>#REF!</v>
      </c>
      <c r="AE9" s="58" t="e">
        <f>IF(AND('Mapa final'!#REF!="Muy Alta",'Mapa final'!#REF!="Mayor"),CONCATENATE("R4C",'Mapa final'!#REF!),"")</f>
        <v>#REF!</v>
      </c>
      <c r="AF9" s="58" t="e">
        <f>IF(AND('Mapa final'!#REF!="Muy Alta",'Mapa final'!#REF!="Mayor"),CONCATENATE("R4C",'Mapa final'!#REF!),"")</f>
        <v>#REF!</v>
      </c>
      <c r="AG9" s="54" t="e">
        <f>IF(AND('Mapa final'!#REF!="Muy Alta",'Mapa final'!#REF!="Mayor"),CONCATENATE("R4C",'Mapa final'!#REF!),"")</f>
        <v>#REF!</v>
      </c>
      <c r="AH9" s="55" t="str">
        <f>IF(AND('Mapa final'!$Y$13="Muy Alta",'Mapa final'!$AA$13="Catastrófico"),CONCATENATE("R4C",'Mapa final'!$O$13),"")</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4"/>
      <c r="AO9" s="384"/>
      <c r="AP9" s="385"/>
      <c r="AQ9" s="385"/>
      <c r="AR9" s="385"/>
      <c r="AS9" s="385"/>
      <c r="AT9" s="38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45">
      <c r="A10" s="84"/>
      <c r="B10" s="276"/>
      <c r="C10" s="276"/>
      <c r="D10" s="277"/>
      <c r="E10" s="377"/>
      <c r="F10" s="378"/>
      <c r="G10" s="378"/>
      <c r="H10" s="378"/>
      <c r="I10" s="393"/>
      <c r="J10" s="52" t="str">
        <f>IF(AND('Mapa final'!$Y$14="Muy Alta",'Mapa final'!$AA$14="Leve"),CONCATENATE("R5C",'Mapa final'!$O$14),"")</f>
        <v/>
      </c>
      <c r="K10" s="53" t="str">
        <f>IF(AND('Mapa final'!$Y$15="Muy Alta",'Mapa final'!$AA$15="Leve"),CONCATENATE("R5C",'Mapa final'!$O$15),"")</f>
        <v/>
      </c>
      <c r="L10" s="58" t="str">
        <f>IF(AND('Mapa final'!$Y$16="Muy Alta",'Mapa final'!$AA$16="Leve"),CONCATENATE("R5C",'Mapa final'!$O$16),"")</f>
        <v/>
      </c>
      <c r="M10" s="58" t="str">
        <f>IF(AND('Mapa final'!$Y$17="Muy Alta",'Mapa final'!$AA$17="Leve"),CONCATENATE("R5C",'Mapa final'!$O$17),"")</f>
        <v/>
      </c>
      <c r="N10" s="58" t="str">
        <f>IF(AND('Mapa final'!$Y$18="Muy Alta",'Mapa final'!$AA$18="Leve"),CONCATENATE("R5C",'Mapa final'!$O$18),"")</f>
        <v/>
      </c>
      <c r="O10" s="54" t="str">
        <f>IF(AND('Mapa final'!$Y$19="Muy Alta",'Mapa final'!$AA$19="Leve"),CONCATENATE("R5C",'Mapa final'!$O$19),"")</f>
        <v/>
      </c>
      <c r="P10" s="52" t="str">
        <f>IF(AND('Mapa final'!$Y$14="Muy Alta",'Mapa final'!$AA$14="Menor"),CONCATENATE("R5C",'Mapa final'!$O$14),"")</f>
        <v/>
      </c>
      <c r="Q10" s="53" t="str">
        <f>IF(AND('Mapa final'!$Y$15="Muy Alta",'Mapa final'!$AA$15="Menor"),CONCATENATE("R5C",'Mapa final'!$O$15),"")</f>
        <v/>
      </c>
      <c r="R10" s="58" t="str">
        <f>IF(AND('Mapa final'!$Y$16="Muy Alta",'Mapa final'!$AA$16="Menor"),CONCATENATE("R5C",'Mapa final'!$O$16),"")</f>
        <v/>
      </c>
      <c r="S10" s="58" t="str">
        <f>IF(AND('Mapa final'!$Y$17="Muy Alta",'Mapa final'!$AA$17="Menor"),CONCATENATE("R5C",'Mapa final'!$O$17),"")</f>
        <v/>
      </c>
      <c r="T10" s="58" t="str">
        <f>IF(AND('Mapa final'!$Y$18="Muy Alta",'Mapa final'!$AA$18="Menor"),CONCATENATE("R5C",'Mapa final'!$O$18),"")</f>
        <v/>
      </c>
      <c r="U10" s="54" t="str">
        <f>IF(AND('Mapa final'!$Y$19="Muy Alta",'Mapa final'!$AA$19="Menor"),CONCATENATE("R5C",'Mapa final'!$O$19),"")</f>
        <v/>
      </c>
      <c r="V10" s="52" t="str">
        <f>IF(AND('Mapa final'!$Y$14="Muy Alta",'Mapa final'!$AA$14="Moderado"),CONCATENATE("R5C",'Mapa final'!$O$14),"")</f>
        <v/>
      </c>
      <c r="W10" s="53" t="str">
        <f>IF(AND('Mapa final'!$Y$15="Muy Alta",'Mapa final'!$AA$15="Moderado"),CONCATENATE("R5C",'Mapa final'!$O$15),"")</f>
        <v/>
      </c>
      <c r="X10" s="58" t="str">
        <f>IF(AND('Mapa final'!$Y$16="Muy Alta",'Mapa final'!$AA$16="Moderado"),CONCATENATE("R5C",'Mapa final'!$O$16),"")</f>
        <v/>
      </c>
      <c r="Y10" s="58" t="str">
        <f>IF(AND('Mapa final'!$Y$17="Muy Alta",'Mapa final'!$AA$17="Moderado"),CONCATENATE("R5C",'Mapa final'!$O$17),"")</f>
        <v/>
      </c>
      <c r="Z10" s="58" t="str">
        <f>IF(AND('Mapa final'!$Y$18="Muy Alta",'Mapa final'!$AA$18="Moderado"),CONCATENATE("R5C",'Mapa final'!$O$18),"")</f>
        <v/>
      </c>
      <c r="AA10" s="54" t="str">
        <f>IF(AND('Mapa final'!$Y$19="Muy Alta",'Mapa final'!$AA$19="Moderado"),CONCATENATE("R5C",'Mapa final'!$O$19),"")</f>
        <v/>
      </c>
      <c r="AB10" s="52" t="str">
        <f>IF(AND('Mapa final'!$Y$14="Muy Alta",'Mapa final'!$AA$14="Mayor"),CONCATENATE("R5C",'Mapa final'!$O$14),"")</f>
        <v/>
      </c>
      <c r="AC10" s="53" t="str">
        <f>IF(AND('Mapa final'!$Y$15="Muy Alta",'Mapa final'!$AA$15="Mayor"),CONCATENATE("R5C",'Mapa final'!$O$15),"")</f>
        <v/>
      </c>
      <c r="AD10" s="58" t="str">
        <f>IF(AND('Mapa final'!$Y$16="Muy Alta",'Mapa final'!$AA$16="Mayor"),CONCATENATE("R5C",'Mapa final'!$O$16),"")</f>
        <v/>
      </c>
      <c r="AE10" s="58" t="str">
        <f>IF(AND('Mapa final'!$Y$17="Muy Alta",'Mapa final'!$AA$17="Mayor"),CONCATENATE("R5C",'Mapa final'!$O$17),"")</f>
        <v/>
      </c>
      <c r="AF10" s="58" t="str">
        <f>IF(AND('Mapa final'!$Y$18="Muy Alta",'Mapa final'!$AA$18="Mayor"),CONCATENATE("R5C",'Mapa final'!$O$18),"")</f>
        <v/>
      </c>
      <c r="AG10" s="54" t="str">
        <f>IF(AND('Mapa final'!$Y$19="Muy Alta",'Mapa final'!$AA$19="Mayor"),CONCATENATE("R5C",'Mapa final'!$O$19),"")</f>
        <v/>
      </c>
      <c r="AH10" s="55" t="str">
        <f>IF(AND('Mapa final'!$Y$14="Muy Alta",'Mapa final'!$AA$14="Catastrófico"),CONCATENATE("R5C",'Mapa final'!$O$14),"")</f>
        <v/>
      </c>
      <c r="AI10" s="56" t="str">
        <f>IF(AND('Mapa final'!$Y$15="Muy Alta",'Mapa final'!$AA$15="Catastrófico"),CONCATENATE("R5C",'Mapa final'!$O$15),"")</f>
        <v/>
      </c>
      <c r="AJ10" s="56" t="str">
        <f>IF(AND('Mapa final'!$Y$16="Muy Alta",'Mapa final'!$AA$16="Catastrófico"),CONCATENATE("R5C",'Mapa final'!$O$16),"")</f>
        <v/>
      </c>
      <c r="AK10" s="56" t="str">
        <f>IF(AND('Mapa final'!$Y$17="Muy Alta",'Mapa final'!$AA$17="Catastrófico"),CONCATENATE("R5C",'Mapa final'!$O$17),"")</f>
        <v/>
      </c>
      <c r="AL10" s="56" t="str">
        <f>IF(AND('Mapa final'!$Y$18="Muy Alta",'Mapa final'!$AA$18="Catastrófico"),CONCATENATE("R5C",'Mapa final'!$O$18),"")</f>
        <v/>
      </c>
      <c r="AM10" s="57" t="str">
        <f>IF(AND('Mapa final'!$Y$19="Muy Alta",'Mapa final'!$AA$19="Catastrófico"),CONCATENATE("R5C",'Mapa final'!$O$19),"")</f>
        <v/>
      </c>
      <c r="AN10" s="84"/>
      <c r="AO10" s="384"/>
      <c r="AP10" s="385"/>
      <c r="AQ10" s="385"/>
      <c r="AR10" s="385"/>
      <c r="AS10" s="385"/>
      <c r="AT10" s="38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45">
      <c r="A11" s="84"/>
      <c r="B11" s="276"/>
      <c r="C11" s="276"/>
      <c r="D11" s="277"/>
      <c r="E11" s="377"/>
      <c r="F11" s="378"/>
      <c r="G11" s="378"/>
      <c r="H11" s="378"/>
      <c r="I11" s="393"/>
      <c r="J11" s="52" t="str">
        <f>IF(AND('Mapa final'!$Y$20="Muy Alta",'Mapa final'!$AA$20="Leve"),CONCATENATE("R6C",'Mapa final'!$O$20),"")</f>
        <v/>
      </c>
      <c r="K11" s="53" t="str">
        <f>IF(AND('Mapa final'!$Y$21="Muy Alta",'Mapa final'!$AA$21="Leve"),CONCATENATE("R6C",'Mapa final'!$O$21),"")</f>
        <v/>
      </c>
      <c r="L11" s="58" t="str">
        <f>IF(AND('Mapa final'!$Y$22="Muy Alta",'Mapa final'!$AA$22="Leve"),CONCATENATE("R6C",'Mapa final'!$O$22),"")</f>
        <v/>
      </c>
      <c r="M11" s="58" t="str">
        <f>IF(AND('Mapa final'!$Y$23="Muy Alta",'Mapa final'!$AA$23="Leve"),CONCATENATE("R6C",'Mapa final'!$O$23),"")</f>
        <v/>
      </c>
      <c r="N11" s="58" t="str">
        <f>IF(AND('Mapa final'!$Y$24="Muy Alta",'Mapa final'!$AA$24="Leve"),CONCATENATE("R6C",'Mapa final'!$O$24),"")</f>
        <v/>
      </c>
      <c r="O11" s="54" t="str">
        <f>IF(AND('Mapa final'!$Y$25="Muy Alta",'Mapa final'!$AA$25="Leve"),CONCATENATE("R6C",'Mapa final'!$O$25),"")</f>
        <v/>
      </c>
      <c r="P11" s="52" t="str">
        <f>IF(AND('Mapa final'!$Y$20="Muy Alta",'Mapa final'!$AA$20="Menor"),CONCATENATE("R6C",'Mapa final'!$O$20),"")</f>
        <v/>
      </c>
      <c r="Q11" s="53" t="str">
        <f>IF(AND('Mapa final'!$Y$21="Muy Alta",'Mapa final'!$AA$21="Menor"),CONCATENATE("R6C",'Mapa final'!$O$21),"")</f>
        <v/>
      </c>
      <c r="R11" s="58" t="str">
        <f>IF(AND('Mapa final'!$Y$22="Muy Alta",'Mapa final'!$AA$22="Menor"),CONCATENATE("R6C",'Mapa final'!$O$22),"")</f>
        <v/>
      </c>
      <c r="S11" s="58" t="str">
        <f>IF(AND('Mapa final'!$Y$23="Muy Alta",'Mapa final'!$AA$23="Menor"),CONCATENATE("R6C",'Mapa final'!$O$23),"")</f>
        <v/>
      </c>
      <c r="T11" s="58" t="str">
        <f>IF(AND('Mapa final'!$Y$24="Muy Alta",'Mapa final'!$AA$24="Menor"),CONCATENATE("R6C",'Mapa final'!$O$24),"")</f>
        <v/>
      </c>
      <c r="U11" s="54" t="str">
        <f>IF(AND('Mapa final'!$Y$25="Muy Alta",'Mapa final'!$AA$25="Menor"),CONCATENATE("R6C",'Mapa final'!$O$25),"")</f>
        <v/>
      </c>
      <c r="V11" s="52" t="str">
        <f>IF(AND('Mapa final'!$Y$20="Muy Alta",'Mapa final'!$AA$20="Moderado"),CONCATENATE("R6C",'Mapa final'!$O$20),"")</f>
        <v/>
      </c>
      <c r="W11" s="53" t="str">
        <f>IF(AND('Mapa final'!$Y$21="Muy Alta",'Mapa final'!$AA$21="Moderado"),CONCATENATE("R6C",'Mapa final'!$O$21),"")</f>
        <v/>
      </c>
      <c r="X11" s="58" t="str">
        <f>IF(AND('Mapa final'!$Y$22="Muy Alta",'Mapa final'!$AA$22="Moderado"),CONCATENATE("R6C",'Mapa final'!$O$22),"")</f>
        <v/>
      </c>
      <c r="Y11" s="58" t="str">
        <f>IF(AND('Mapa final'!$Y$23="Muy Alta",'Mapa final'!$AA$23="Moderado"),CONCATENATE("R6C",'Mapa final'!$O$23),"")</f>
        <v/>
      </c>
      <c r="Z11" s="58" t="str">
        <f>IF(AND('Mapa final'!$Y$24="Muy Alta",'Mapa final'!$AA$24="Moderado"),CONCATENATE("R6C",'Mapa final'!$O$24),"")</f>
        <v/>
      </c>
      <c r="AA11" s="54" t="str">
        <f>IF(AND('Mapa final'!$Y$25="Muy Alta",'Mapa final'!$AA$25="Moderado"),CONCATENATE("R6C",'Mapa final'!$O$25),"")</f>
        <v/>
      </c>
      <c r="AB11" s="52" t="str">
        <f>IF(AND('Mapa final'!$Y$20="Muy Alta",'Mapa final'!$AA$20="Mayor"),CONCATENATE("R6C",'Mapa final'!$O$20),"")</f>
        <v/>
      </c>
      <c r="AC11" s="53" t="str">
        <f>IF(AND('Mapa final'!$Y$21="Muy Alta",'Mapa final'!$AA$21="Mayor"),CONCATENATE("R6C",'Mapa final'!$O$21),"")</f>
        <v/>
      </c>
      <c r="AD11" s="58" t="str">
        <f>IF(AND('Mapa final'!$Y$22="Muy Alta",'Mapa final'!$AA$22="Mayor"),CONCATENATE("R6C",'Mapa final'!$O$22),"")</f>
        <v/>
      </c>
      <c r="AE11" s="58" t="str">
        <f>IF(AND('Mapa final'!$Y$23="Muy Alta",'Mapa final'!$AA$23="Mayor"),CONCATENATE("R6C",'Mapa final'!$O$23),"")</f>
        <v/>
      </c>
      <c r="AF11" s="58" t="str">
        <f>IF(AND('Mapa final'!$Y$24="Muy Alta",'Mapa final'!$AA$24="Mayor"),CONCATENATE("R6C",'Mapa final'!$O$24),"")</f>
        <v/>
      </c>
      <c r="AG11" s="54" t="str">
        <f>IF(AND('Mapa final'!$Y$25="Muy Alta",'Mapa final'!$AA$25="Mayor"),CONCATENATE("R6C",'Mapa final'!$O$25),"")</f>
        <v/>
      </c>
      <c r="AH11" s="55" t="str">
        <f>IF(AND('Mapa final'!$Y$20="Muy Alta",'Mapa final'!$AA$20="Catastrófico"),CONCATENATE("R6C",'Mapa final'!$O$20),"")</f>
        <v/>
      </c>
      <c r="AI11" s="56" t="str">
        <f>IF(AND('Mapa final'!$Y$21="Muy Alta",'Mapa final'!$AA$21="Catastrófico"),CONCATENATE("R6C",'Mapa final'!$O$21),"")</f>
        <v/>
      </c>
      <c r="AJ11" s="56" t="str">
        <f>IF(AND('Mapa final'!$Y$22="Muy Alta",'Mapa final'!$AA$22="Catastrófico"),CONCATENATE("R6C",'Mapa final'!$O$22),"")</f>
        <v/>
      </c>
      <c r="AK11" s="56" t="str">
        <f>IF(AND('Mapa final'!$Y$23="Muy Alta",'Mapa final'!$AA$23="Catastrófico"),CONCATENATE("R6C",'Mapa final'!$O$23),"")</f>
        <v/>
      </c>
      <c r="AL11" s="56" t="str">
        <f>IF(AND('Mapa final'!$Y$24="Muy Alta",'Mapa final'!$AA$24="Catastrófico"),CONCATENATE("R6C",'Mapa final'!$O$24),"")</f>
        <v/>
      </c>
      <c r="AM11" s="57" t="str">
        <f>IF(AND('Mapa final'!$Y$25="Muy Alta",'Mapa final'!$AA$25="Catastrófico"),CONCATENATE("R6C",'Mapa final'!$O$25),"")</f>
        <v/>
      </c>
      <c r="AN11" s="84"/>
      <c r="AO11" s="384"/>
      <c r="AP11" s="385"/>
      <c r="AQ11" s="385"/>
      <c r="AR11" s="385"/>
      <c r="AS11" s="385"/>
      <c r="AT11" s="38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45">
      <c r="A12" s="84"/>
      <c r="B12" s="276"/>
      <c r="C12" s="276"/>
      <c r="D12" s="277"/>
      <c r="E12" s="377"/>
      <c r="F12" s="378"/>
      <c r="G12" s="378"/>
      <c r="H12" s="378"/>
      <c r="I12" s="393"/>
      <c r="J12" s="52" t="str">
        <f>IF(AND('Mapa final'!$Y$26="Muy Alta",'Mapa final'!$AA$26="Leve"),CONCATENATE("R7C",'Mapa final'!$O$26),"")</f>
        <v/>
      </c>
      <c r="K12" s="53" t="str">
        <f>IF(AND('Mapa final'!$Y$27="Muy Alta",'Mapa final'!$AA$27="Leve"),CONCATENATE("R7C",'Mapa final'!$O$27),"")</f>
        <v/>
      </c>
      <c r="L12" s="58" t="str">
        <f>IF(AND('Mapa final'!$Y$28="Muy Alta",'Mapa final'!$AA$28="Leve"),CONCATENATE("R7C",'Mapa final'!$O$28),"")</f>
        <v/>
      </c>
      <c r="M12" s="58" t="str">
        <f>IF(AND('Mapa final'!$Y$29="Muy Alta",'Mapa final'!$AA$29="Leve"),CONCATENATE("R7C",'Mapa final'!$O$29),"")</f>
        <v/>
      </c>
      <c r="N12" s="58" t="str">
        <f>IF(AND('Mapa final'!$Y$30="Muy Alta",'Mapa final'!$AA$30="Leve"),CONCATENATE("R7C",'Mapa final'!$O$30),"")</f>
        <v/>
      </c>
      <c r="O12" s="54" t="str">
        <f>IF(AND('Mapa final'!$Y$31="Muy Alta",'Mapa final'!$AA$31="Leve"),CONCATENATE("R7C",'Mapa final'!$O$31),"")</f>
        <v/>
      </c>
      <c r="P12" s="52" t="str">
        <f>IF(AND('Mapa final'!$Y$26="Muy Alta",'Mapa final'!$AA$26="Menor"),CONCATENATE("R7C",'Mapa final'!$O$26),"")</f>
        <v/>
      </c>
      <c r="Q12" s="53" t="str">
        <f>IF(AND('Mapa final'!$Y$27="Muy Alta",'Mapa final'!$AA$27="Menor"),CONCATENATE("R7C",'Mapa final'!$O$27),"")</f>
        <v/>
      </c>
      <c r="R12" s="58" t="str">
        <f>IF(AND('Mapa final'!$Y$28="Muy Alta",'Mapa final'!$AA$28="Menor"),CONCATENATE("R7C",'Mapa final'!$O$28),"")</f>
        <v/>
      </c>
      <c r="S12" s="58" t="str">
        <f>IF(AND('Mapa final'!$Y$29="Muy Alta",'Mapa final'!$AA$29="Menor"),CONCATENATE("R7C",'Mapa final'!$O$29),"")</f>
        <v/>
      </c>
      <c r="T12" s="58" t="str">
        <f>IF(AND('Mapa final'!$Y$30="Muy Alta",'Mapa final'!$AA$30="Menor"),CONCATENATE("R7C",'Mapa final'!$O$30),"")</f>
        <v/>
      </c>
      <c r="U12" s="54" t="str">
        <f>IF(AND('Mapa final'!$Y$31="Muy Alta",'Mapa final'!$AA$31="Menor"),CONCATENATE("R7C",'Mapa final'!$O$31),"")</f>
        <v/>
      </c>
      <c r="V12" s="52" t="str">
        <f>IF(AND('Mapa final'!$Y$26="Muy Alta",'Mapa final'!$AA$26="Moderado"),CONCATENATE("R7C",'Mapa final'!$O$26),"")</f>
        <v/>
      </c>
      <c r="W12" s="53" t="str">
        <f>IF(AND('Mapa final'!$Y$27="Muy Alta",'Mapa final'!$AA$27="Moderado"),CONCATENATE("R7C",'Mapa final'!$O$27),"")</f>
        <v/>
      </c>
      <c r="X12" s="58" t="str">
        <f>IF(AND('Mapa final'!$Y$28="Muy Alta",'Mapa final'!$AA$28="Moderado"),CONCATENATE("R7C",'Mapa final'!$O$28),"")</f>
        <v/>
      </c>
      <c r="Y12" s="58" t="str">
        <f>IF(AND('Mapa final'!$Y$29="Muy Alta",'Mapa final'!$AA$29="Moderado"),CONCATENATE("R7C",'Mapa final'!$O$29),"")</f>
        <v/>
      </c>
      <c r="Z12" s="58" t="str">
        <f>IF(AND('Mapa final'!$Y$30="Muy Alta",'Mapa final'!$AA$30="Moderado"),CONCATENATE("R7C",'Mapa final'!$O$30),"")</f>
        <v/>
      </c>
      <c r="AA12" s="54" t="str">
        <f>IF(AND('Mapa final'!$Y$31="Muy Alta",'Mapa final'!$AA$31="Moderado"),CONCATENATE("R7C",'Mapa final'!$O$31),"")</f>
        <v/>
      </c>
      <c r="AB12" s="52" t="str">
        <f>IF(AND('Mapa final'!$Y$26="Muy Alta",'Mapa final'!$AA$26="Mayor"),CONCATENATE("R7C",'Mapa final'!$O$26),"")</f>
        <v/>
      </c>
      <c r="AC12" s="53" t="str">
        <f>IF(AND('Mapa final'!$Y$27="Muy Alta",'Mapa final'!$AA$27="Mayor"),CONCATENATE("R7C",'Mapa final'!$O$27),"")</f>
        <v/>
      </c>
      <c r="AD12" s="58" t="str">
        <f>IF(AND('Mapa final'!$Y$28="Muy Alta",'Mapa final'!$AA$28="Mayor"),CONCATENATE("R7C",'Mapa final'!$O$28),"")</f>
        <v/>
      </c>
      <c r="AE12" s="58" t="str">
        <f>IF(AND('Mapa final'!$Y$29="Muy Alta",'Mapa final'!$AA$29="Mayor"),CONCATENATE("R7C",'Mapa final'!$O$29),"")</f>
        <v/>
      </c>
      <c r="AF12" s="58" t="str">
        <f>IF(AND('Mapa final'!$Y$30="Muy Alta",'Mapa final'!$AA$30="Mayor"),CONCATENATE("R7C",'Mapa final'!$O$30),"")</f>
        <v/>
      </c>
      <c r="AG12" s="54" t="str">
        <f>IF(AND('Mapa final'!$Y$31="Muy Alta",'Mapa final'!$AA$31="Mayor"),CONCATENATE("R7C",'Mapa final'!$O$31),"")</f>
        <v/>
      </c>
      <c r="AH12" s="55" t="str">
        <f>IF(AND('Mapa final'!$Y$26="Muy Alta",'Mapa final'!$AA$26="Catastrófico"),CONCATENATE("R7C",'Mapa final'!$O$26),"")</f>
        <v/>
      </c>
      <c r="AI12" s="56" t="str">
        <f>IF(AND('Mapa final'!$Y$27="Muy Alta",'Mapa final'!$AA$27="Catastrófico"),CONCATENATE("R7C",'Mapa final'!$O$27),"")</f>
        <v/>
      </c>
      <c r="AJ12" s="56" t="str">
        <f>IF(AND('Mapa final'!$Y$28="Muy Alta",'Mapa final'!$AA$28="Catastrófico"),CONCATENATE("R7C",'Mapa final'!$O$28),"")</f>
        <v/>
      </c>
      <c r="AK12" s="56" t="str">
        <f>IF(AND('Mapa final'!$Y$29="Muy Alta",'Mapa final'!$AA$29="Catastrófico"),CONCATENATE("R7C",'Mapa final'!$O$29),"")</f>
        <v/>
      </c>
      <c r="AL12" s="56" t="str">
        <f>IF(AND('Mapa final'!$Y$30="Muy Alta",'Mapa final'!$AA$30="Catastrófico"),CONCATENATE("R7C",'Mapa final'!$O$30),"")</f>
        <v/>
      </c>
      <c r="AM12" s="57" t="str">
        <f>IF(AND('Mapa final'!$Y$31="Muy Alta",'Mapa final'!$AA$31="Catastrófico"),CONCATENATE("R7C",'Mapa final'!$O$31),"")</f>
        <v/>
      </c>
      <c r="AN12" s="84"/>
      <c r="AO12" s="384"/>
      <c r="AP12" s="385"/>
      <c r="AQ12" s="385"/>
      <c r="AR12" s="385"/>
      <c r="AS12" s="385"/>
      <c r="AT12" s="38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45">
      <c r="A13" s="84"/>
      <c r="B13" s="276"/>
      <c r="C13" s="276"/>
      <c r="D13" s="277"/>
      <c r="E13" s="377"/>
      <c r="F13" s="378"/>
      <c r="G13" s="378"/>
      <c r="H13" s="378"/>
      <c r="I13" s="393"/>
      <c r="J13" s="52" t="str">
        <f>IF(AND('Mapa final'!$Y$32="Muy Alta",'Mapa final'!$AA$32="Leve"),CONCATENATE("R8C",'Mapa final'!$O$32),"")</f>
        <v/>
      </c>
      <c r="K13" s="53" t="str">
        <f>IF(AND('Mapa final'!$Y$33="Muy Alta",'Mapa final'!$AA$33="Leve"),CONCATENATE("R8C",'Mapa final'!$O$33),"")</f>
        <v/>
      </c>
      <c r="L13" s="58" t="str">
        <f>IF(AND('Mapa final'!$Y$34="Muy Alta",'Mapa final'!$AA$34="Leve"),CONCATENATE("R8C",'Mapa final'!$O$34),"")</f>
        <v/>
      </c>
      <c r="M13" s="58" t="str">
        <f>IF(AND('Mapa final'!$Y$35="Muy Alta",'Mapa final'!$AA$35="Leve"),CONCATENATE("R8C",'Mapa final'!$O$35),"")</f>
        <v/>
      </c>
      <c r="N13" s="58" t="str">
        <f>IF(AND('Mapa final'!$Y$36="Muy Alta",'Mapa final'!$AA$36="Leve"),CONCATENATE("R8C",'Mapa final'!$O$36),"")</f>
        <v/>
      </c>
      <c r="O13" s="54" t="str">
        <f>IF(AND('Mapa final'!$Y$37="Muy Alta",'Mapa final'!$AA$37="Leve"),CONCATENATE("R8C",'Mapa final'!$O$37),"")</f>
        <v/>
      </c>
      <c r="P13" s="52" t="str">
        <f>IF(AND('Mapa final'!$Y$32="Muy Alta",'Mapa final'!$AA$32="Menor"),CONCATENATE("R8C",'Mapa final'!$O$32),"")</f>
        <v/>
      </c>
      <c r="Q13" s="53" t="str">
        <f>IF(AND('Mapa final'!$Y$33="Muy Alta",'Mapa final'!$AA$33="Menor"),CONCATENATE("R8C",'Mapa final'!$O$33),"")</f>
        <v/>
      </c>
      <c r="R13" s="58" t="str">
        <f>IF(AND('Mapa final'!$Y$34="Muy Alta",'Mapa final'!$AA$34="Menor"),CONCATENATE("R8C",'Mapa final'!$O$34),"")</f>
        <v/>
      </c>
      <c r="S13" s="58" t="str">
        <f>IF(AND('Mapa final'!$Y$35="Muy Alta",'Mapa final'!$AA$35="Menor"),CONCATENATE("R8C",'Mapa final'!$O$35),"")</f>
        <v/>
      </c>
      <c r="T13" s="58" t="str">
        <f>IF(AND('Mapa final'!$Y$36="Muy Alta",'Mapa final'!$AA$36="Menor"),CONCATENATE("R8C",'Mapa final'!$O$36),"")</f>
        <v/>
      </c>
      <c r="U13" s="54" t="str">
        <f>IF(AND('Mapa final'!$Y$37="Muy Alta",'Mapa final'!$AA$37="Menor"),CONCATENATE("R8C",'Mapa final'!$O$37),"")</f>
        <v/>
      </c>
      <c r="V13" s="52" t="str">
        <f>IF(AND('Mapa final'!$Y$32="Muy Alta",'Mapa final'!$AA$32="Moderado"),CONCATENATE("R8C",'Mapa final'!$O$32),"")</f>
        <v/>
      </c>
      <c r="W13" s="53" t="str">
        <f>IF(AND('Mapa final'!$Y$33="Muy Alta",'Mapa final'!$AA$33="Moderado"),CONCATENATE("R8C",'Mapa final'!$O$33),"")</f>
        <v/>
      </c>
      <c r="X13" s="58" t="str">
        <f>IF(AND('Mapa final'!$Y$34="Muy Alta",'Mapa final'!$AA$34="Moderado"),CONCATENATE("R8C",'Mapa final'!$O$34),"")</f>
        <v/>
      </c>
      <c r="Y13" s="58" t="str">
        <f>IF(AND('Mapa final'!$Y$35="Muy Alta",'Mapa final'!$AA$35="Moderado"),CONCATENATE("R8C",'Mapa final'!$O$35),"")</f>
        <v/>
      </c>
      <c r="Z13" s="58" t="str">
        <f>IF(AND('Mapa final'!$Y$36="Muy Alta",'Mapa final'!$AA$36="Moderado"),CONCATENATE("R8C",'Mapa final'!$O$36),"")</f>
        <v/>
      </c>
      <c r="AA13" s="54" t="str">
        <f>IF(AND('Mapa final'!$Y$37="Muy Alta",'Mapa final'!$AA$37="Moderado"),CONCATENATE("R8C",'Mapa final'!$O$37),"")</f>
        <v/>
      </c>
      <c r="AB13" s="52" t="str">
        <f>IF(AND('Mapa final'!$Y$32="Muy Alta",'Mapa final'!$AA$32="Mayor"),CONCATENATE("R8C",'Mapa final'!$O$32),"")</f>
        <v/>
      </c>
      <c r="AC13" s="53" t="str">
        <f>IF(AND('Mapa final'!$Y$33="Muy Alta",'Mapa final'!$AA$33="Mayor"),CONCATENATE("R8C",'Mapa final'!$O$33),"")</f>
        <v/>
      </c>
      <c r="AD13" s="58" t="str">
        <f>IF(AND('Mapa final'!$Y$34="Muy Alta",'Mapa final'!$AA$34="Mayor"),CONCATENATE("R8C",'Mapa final'!$O$34),"")</f>
        <v/>
      </c>
      <c r="AE13" s="58" t="str">
        <f>IF(AND('Mapa final'!$Y$35="Muy Alta",'Mapa final'!$AA$35="Mayor"),CONCATENATE("R8C",'Mapa final'!$O$35),"")</f>
        <v/>
      </c>
      <c r="AF13" s="58" t="str">
        <f>IF(AND('Mapa final'!$Y$36="Muy Alta",'Mapa final'!$AA$36="Mayor"),CONCATENATE("R8C",'Mapa final'!$O$36),"")</f>
        <v/>
      </c>
      <c r="AG13" s="54" t="str">
        <f>IF(AND('Mapa final'!$Y$37="Muy Alta",'Mapa final'!$AA$37="Mayor"),CONCATENATE("R8C",'Mapa final'!$O$37),"")</f>
        <v/>
      </c>
      <c r="AH13" s="55" t="str">
        <f>IF(AND('Mapa final'!$Y$32="Muy Alta",'Mapa final'!$AA$32="Catastrófico"),CONCATENATE("R8C",'Mapa final'!$O$32),"")</f>
        <v/>
      </c>
      <c r="AI13" s="56" t="str">
        <f>IF(AND('Mapa final'!$Y$33="Muy Alta",'Mapa final'!$AA$33="Catastrófico"),CONCATENATE("R8C",'Mapa final'!$O$33),"")</f>
        <v/>
      </c>
      <c r="AJ13" s="56" t="str">
        <f>IF(AND('Mapa final'!$Y$34="Muy Alta",'Mapa final'!$AA$34="Catastrófico"),CONCATENATE("R8C",'Mapa final'!$O$34),"")</f>
        <v/>
      </c>
      <c r="AK13" s="56" t="str">
        <f>IF(AND('Mapa final'!$Y$35="Muy Alta",'Mapa final'!$AA$35="Catastrófico"),CONCATENATE("R8C",'Mapa final'!$O$35),"")</f>
        <v/>
      </c>
      <c r="AL13" s="56" t="str">
        <f>IF(AND('Mapa final'!$Y$36="Muy Alta",'Mapa final'!$AA$36="Catastrófico"),CONCATENATE("R8C",'Mapa final'!$O$36),"")</f>
        <v/>
      </c>
      <c r="AM13" s="57" t="str">
        <f>IF(AND('Mapa final'!$Y$37="Muy Alta",'Mapa final'!$AA$37="Catastrófico"),CONCATENATE("R8C",'Mapa final'!$O$37),"")</f>
        <v/>
      </c>
      <c r="AN13" s="84"/>
      <c r="AO13" s="384"/>
      <c r="AP13" s="385"/>
      <c r="AQ13" s="385"/>
      <c r="AR13" s="385"/>
      <c r="AS13" s="385"/>
      <c r="AT13" s="386"/>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45">
      <c r="A14" s="84"/>
      <c r="B14" s="276"/>
      <c r="C14" s="276"/>
      <c r="D14" s="277"/>
      <c r="E14" s="377"/>
      <c r="F14" s="378"/>
      <c r="G14" s="378"/>
      <c r="H14" s="378"/>
      <c r="I14" s="393"/>
      <c r="J14" s="52" t="str">
        <f>IF(AND('Mapa final'!$Y$38="Muy Alta",'Mapa final'!$AA$38="Leve"),CONCATENATE("R9C",'Mapa final'!$O$38),"")</f>
        <v/>
      </c>
      <c r="K14" s="53" t="str">
        <f>IF(AND('Mapa final'!$Y$39="Muy Alta",'Mapa final'!$AA$39="Leve"),CONCATENATE("R9C",'Mapa final'!$O$39),"")</f>
        <v/>
      </c>
      <c r="L14" s="58" t="str">
        <f>IF(AND('Mapa final'!$Y$40="Muy Alta",'Mapa final'!$AA$40="Leve"),CONCATENATE("R9C",'Mapa final'!$O$40),"")</f>
        <v/>
      </c>
      <c r="M14" s="58" t="str">
        <f>IF(AND('Mapa final'!$Y$41="Muy Alta",'Mapa final'!$AA$41="Leve"),CONCATENATE("R9C",'Mapa final'!$O$41),"")</f>
        <v/>
      </c>
      <c r="N14" s="58" t="str">
        <f>IF(AND('Mapa final'!$Y$42="Muy Alta",'Mapa final'!$AA$42="Leve"),CONCATENATE("R9C",'Mapa final'!$O$42),"")</f>
        <v/>
      </c>
      <c r="O14" s="54" t="str">
        <f>IF(AND('Mapa final'!$Y$43="Muy Alta",'Mapa final'!$AA$43="Leve"),CONCATENATE("R9C",'Mapa final'!$O$43),"")</f>
        <v/>
      </c>
      <c r="P14" s="52" t="str">
        <f>IF(AND('Mapa final'!$Y$38="Muy Alta",'Mapa final'!$AA$38="Menor"),CONCATENATE("R9C",'Mapa final'!$O$38),"")</f>
        <v/>
      </c>
      <c r="Q14" s="53" t="str">
        <f>IF(AND('Mapa final'!$Y$39="Muy Alta",'Mapa final'!$AA$39="Menor"),CONCATENATE("R9C",'Mapa final'!$O$39),"")</f>
        <v/>
      </c>
      <c r="R14" s="58" t="str">
        <f>IF(AND('Mapa final'!$Y$40="Muy Alta",'Mapa final'!$AA$40="Menor"),CONCATENATE("R9C",'Mapa final'!$O$40),"")</f>
        <v/>
      </c>
      <c r="S14" s="58" t="str">
        <f>IF(AND('Mapa final'!$Y$41="Muy Alta",'Mapa final'!$AA$41="Menor"),CONCATENATE("R9C",'Mapa final'!$O$41),"")</f>
        <v/>
      </c>
      <c r="T14" s="58" t="str">
        <f>IF(AND('Mapa final'!$Y$42="Muy Alta",'Mapa final'!$AA$42="Menor"),CONCATENATE("R9C",'Mapa final'!$O$42),"")</f>
        <v/>
      </c>
      <c r="U14" s="54" t="str">
        <f>IF(AND('Mapa final'!$Y$43="Muy Alta",'Mapa final'!$AA$43="Menor"),CONCATENATE("R9C",'Mapa final'!$O$43),"")</f>
        <v/>
      </c>
      <c r="V14" s="52" t="str">
        <f>IF(AND('Mapa final'!$Y$38="Muy Alta",'Mapa final'!$AA$38="Moderado"),CONCATENATE("R9C",'Mapa final'!$O$38),"")</f>
        <v/>
      </c>
      <c r="W14" s="53" t="str">
        <f>IF(AND('Mapa final'!$Y$39="Muy Alta",'Mapa final'!$AA$39="Moderado"),CONCATENATE("R9C",'Mapa final'!$O$39),"")</f>
        <v/>
      </c>
      <c r="X14" s="58" t="str">
        <f>IF(AND('Mapa final'!$Y$40="Muy Alta",'Mapa final'!$AA$40="Moderado"),CONCATENATE("R9C",'Mapa final'!$O$40),"")</f>
        <v/>
      </c>
      <c r="Y14" s="58" t="str">
        <f>IF(AND('Mapa final'!$Y$41="Muy Alta",'Mapa final'!$AA$41="Moderado"),CONCATENATE("R9C",'Mapa final'!$O$41),"")</f>
        <v/>
      </c>
      <c r="Z14" s="58" t="str">
        <f>IF(AND('Mapa final'!$Y$42="Muy Alta",'Mapa final'!$AA$42="Moderado"),CONCATENATE("R9C",'Mapa final'!$O$42),"")</f>
        <v/>
      </c>
      <c r="AA14" s="54" t="str">
        <f>IF(AND('Mapa final'!$Y$43="Muy Alta",'Mapa final'!$AA$43="Moderado"),CONCATENATE("R9C",'Mapa final'!$O$43),"")</f>
        <v/>
      </c>
      <c r="AB14" s="52" t="str">
        <f>IF(AND('Mapa final'!$Y$38="Muy Alta",'Mapa final'!$AA$38="Mayor"),CONCATENATE("R9C",'Mapa final'!$O$38),"")</f>
        <v/>
      </c>
      <c r="AC14" s="53" t="str">
        <f>IF(AND('Mapa final'!$Y$39="Muy Alta",'Mapa final'!$AA$39="Mayor"),CONCATENATE("R9C",'Mapa final'!$O$39),"")</f>
        <v/>
      </c>
      <c r="AD14" s="58" t="str">
        <f>IF(AND('Mapa final'!$Y$40="Muy Alta",'Mapa final'!$AA$40="Mayor"),CONCATENATE("R9C",'Mapa final'!$O$40),"")</f>
        <v/>
      </c>
      <c r="AE14" s="58" t="str">
        <f>IF(AND('Mapa final'!$Y$41="Muy Alta",'Mapa final'!$AA$41="Mayor"),CONCATENATE("R9C",'Mapa final'!$O$41),"")</f>
        <v/>
      </c>
      <c r="AF14" s="58" t="str">
        <f>IF(AND('Mapa final'!$Y$42="Muy Alta",'Mapa final'!$AA$42="Mayor"),CONCATENATE("R9C",'Mapa final'!$O$42),"")</f>
        <v/>
      </c>
      <c r="AG14" s="54" t="str">
        <f>IF(AND('Mapa final'!$Y$43="Muy Alta",'Mapa final'!$AA$43="Mayor"),CONCATENATE("R9C",'Mapa final'!$O$43),"")</f>
        <v/>
      </c>
      <c r="AH14" s="55" t="str">
        <f>IF(AND('Mapa final'!$Y$38="Muy Alta",'Mapa final'!$AA$38="Catastrófico"),CONCATENATE("R9C",'Mapa final'!$O$38),"")</f>
        <v/>
      </c>
      <c r="AI14" s="56" t="str">
        <f>IF(AND('Mapa final'!$Y$39="Muy Alta",'Mapa final'!$AA$39="Catastrófico"),CONCATENATE("R9C",'Mapa final'!$O$39),"")</f>
        <v/>
      </c>
      <c r="AJ14" s="56" t="str">
        <f>IF(AND('Mapa final'!$Y$40="Muy Alta",'Mapa final'!$AA$40="Catastrófico"),CONCATENATE("R9C",'Mapa final'!$O$40),"")</f>
        <v/>
      </c>
      <c r="AK14" s="56" t="str">
        <f>IF(AND('Mapa final'!$Y$41="Muy Alta",'Mapa final'!$AA$41="Catastrófico"),CONCATENATE("R9C",'Mapa final'!$O$41),"")</f>
        <v/>
      </c>
      <c r="AL14" s="56" t="str">
        <f>IF(AND('Mapa final'!$Y$42="Muy Alta",'Mapa final'!$AA$42="Catastrófico"),CONCATENATE("R9C",'Mapa final'!$O$42),"")</f>
        <v/>
      </c>
      <c r="AM14" s="57" t="str">
        <f>IF(AND('Mapa final'!$Y$43="Muy Alta",'Mapa final'!$AA$43="Catastrófico"),CONCATENATE("R9C",'Mapa final'!$O$43),"")</f>
        <v/>
      </c>
      <c r="AN14" s="84"/>
      <c r="AO14" s="384"/>
      <c r="AP14" s="385"/>
      <c r="AQ14" s="385"/>
      <c r="AR14" s="385"/>
      <c r="AS14" s="385"/>
      <c r="AT14" s="386"/>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5">
      <c r="A15" s="84"/>
      <c r="B15" s="276"/>
      <c r="C15" s="276"/>
      <c r="D15" s="277"/>
      <c r="E15" s="379"/>
      <c r="F15" s="380"/>
      <c r="G15" s="380"/>
      <c r="H15" s="380"/>
      <c r="I15" s="394"/>
      <c r="J15" s="59" t="str">
        <f>IF(AND('Mapa final'!$Y$44="Muy Alta",'Mapa final'!$AA$44="Leve"),CONCATENATE("R10C",'Mapa final'!$O$44),"")</f>
        <v/>
      </c>
      <c r="K15" s="60" t="str">
        <f>IF(AND('Mapa final'!$Y$45="Muy Alta",'Mapa final'!$AA$45="Leve"),CONCATENATE("R10C",'Mapa final'!$O$45),"")</f>
        <v/>
      </c>
      <c r="L15" s="60" t="str">
        <f>IF(AND('Mapa final'!$Y$46="Muy Alta",'Mapa final'!$AA$46="Leve"),CONCATENATE("R10C",'Mapa final'!$O$46),"")</f>
        <v/>
      </c>
      <c r="M15" s="60" t="str">
        <f>IF(AND('Mapa final'!$Y$47="Muy Alta",'Mapa final'!$AA$47="Leve"),CONCATENATE("R10C",'Mapa final'!$O$47),"")</f>
        <v/>
      </c>
      <c r="N15" s="60" t="str">
        <f>IF(AND('Mapa final'!$Y$48="Muy Alta",'Mapa final'!$AA$48="Leve"),CONCATENATE("R10C",'Mapa final'!$O$48),"")</f>
        <v/>
      </c>
      <c r="O15" s="61" t="str">
        <f>IF(AND('Mapa final'!$Y$49="Muy Alta",'Mapa final'!$AA$49="Leve"),CONCATENATE("R10C",'Mapa final'!$O$49),"")</f>
        <v/>
      </c>
      <c r="P15" s="52" t="str">
        <f>IF(AND('Mapa final'!$Y$44="Muy Alta",'Mapa final'!$AA$44="Menor"),CONCATENATE("R10C",'Mapa final'!$O$44),"")</f>
        <v/>
      </c>
      <c r="Q15" s="53" t="str">
        <f>IF(AND('Mapa final'!$Y$45="Muy Alta",'Mapa final'!$AA$45="Menor"),CONCATENATE("R10C",'Mapa final'!$O$45),"")</f>
        <v/>
      </c>
      <c r="R15" s="53" t="str">
        <f>IF(AND('Mapa final'!$Y$46="Muy Alta",'Mapa final'!$AA$46="Menor"),CONCATENATE("R10C",'Mapa final'!$O$46),"")</f>
        <v/>
      </c>
      <c r="S15" s="53" t="str">
        <f>IF(AND('Mapa final'!$Y$47="Muy Alta",'Mapa final'!$AA$47="Menor"),CONCATENATE("R10C",'Mapa final'!$O$47),"")</f>
        <v/>
      </c>
      <c r="T15" s="53" t="str">
        <f>IF(AND('Mapa final'!$Y$48="Muy Alta",'Mapa final'!$AA$48="Menor"),CONCATENATE("R10C",'Mapa final'!$O$48),"")</f>
        <v/>
      </c>
      <c r="U15" s="54" t="str">
        <f>IF(AND('Mapa final'!$Y$49="Muy Alta",'Mapa final'!$AA$49="Menor"),CONCATENATE("R10C",'Mapa final'!$O$49),"")</f>
        <v/>
      </c>
      <c r="V15" s="59" t="str">
        <f>IF(AND('Mapa final'!$Y$44="Muy Alta",'Mapa final'!$AA$44="Moderado"),CONCATENATE("R10C",'Mapa final'!$O$44),"")</f>
        <v/>
      </c>
      <c r="W15" s="60" t="str">
        <f>IF(AND('Mapa final'!$Y$45="Muy Alta",'Mapa final'!$AA$45="Moderado"),CONCATENATE("R10C",'Mapa final'!$O$45),"")</f>
        <v/>
      </c>
      <c r="X15" s="60" t="str">
        <f>IF(AND('Mapa final'!$Y$46="Muy Alta",'Mapa final'!$AA$46="Moderado"),CONCATENATE("R10C",'Mapa final'!$O$46),"")</f>
        <v/>
      </c>
      <c r="Y15" s="60" t="str">
        <f>IF(AND('Mapa final'!$Y$47="Muy Alta",'Mapa final'!$AA$47="Moderado"),CONCATENATE("R10C",'Mapa final'!$O$47),"")</f>
        <v/>
      </c>
      <c r="Z15" s="60" t="str">
        <f>IF(AND('Mapa final'!$Y$48="Muy Alta",'Mapa final'!$AA$48="Moderado"),CONCATENATE("R10C",'Mapa final'!$O$48),"")</f>
        <v/>
      </c>
      <c r="AA15" s="61" t="str">
        <f>IF(AND('Mapa final'!$Y$49="Muy Alta",'Mapa final'!$AA$49="Moderado"),CONCATENATE("R10C",'Mapa final'!$O$49),"")</f>
        <v/>
      </c>
      <c r="AB15" s="52" t="str">
        <f>IF(AND('Mapa final'!$Y$44="Muy Alta",'Mapa final'!$AA$44="Mayor"),CONCATENATE("R10C",'Mapa final'!$O$44),"")</f>
        <v/>
      </c>
      <c r="AC15" s="53" t="str">
        <f>IF(AND('Mapa final'!$Y$45="Muy Alta",'Mapa final'!$AA$45="Mayor"),CONCATENATE("R10C",'Mapa final'!$O$45),"")</f>
        <v/>
      </c>
      <c r="AD15" s="53" t="str">
        <f>IF(AND('Mapa final'!$Y$46="Muy Alta",'Mapa final'!$AA$46="Mayor"),CONCATENATE("R10C",'Mapa final'!$O$46),"")</f>
        <v/>
      </c>
      <c r="AE15" s="53" t="str">
        <f>IF(AND('Mapa final'!$Y$47="Muy Alta",'Mapa final'!$AA$47="Mayor"),CONCATENATE("R10C",'Mapa final'!$O$47),"")</f>
        <v/>
      </c>
      <c r="AF15" s="53" t="str">
        <f>IF(AND('Mapa final'!$Y$48="Muy Alta",'Mapa final'!$AA$48="Mayor"),CONCATENATE("R10C",'Mapa final'!$O$48),"")</f>
        <v/>
      </c>
      <c r="AG15" s="54" t="str">
        <f>IF(AND('Mapa final'!$Y$49="Muy Alta",'Mapa final'!$AA$49="Mayor"),CONCATENATE("R10C",'Mapa final'!$O$49),"")</f>
        <v/>
      </c>
      <c r="AH15" s="62" t="str">
        <f>IF(AND('Mapa final'!$Y$44="Muy Alta",'Mapa final'!$AA$44="Catastrófico"),CONCATENATE("R10C",'Mapa final'!$O$44),"")</f>
        <v/>
      </c>
      <c r="AI15" s="63" t="str">
        <f>IF(AND('Mapa final'!$Y$45="Muy Alta",'Mapa final'!$AA$45="Catastrófico"),CONCATENATE("R10C",'Mapa final'!$O$45),"")</f>
        <v/>
      </c>
      <c r="AJ15" s="63" t="str">
        <f>IF(AND('Mapa final'!$Y$46="Muy Alta",'Mapa final'!$AA$46="Catastrófico"),CONCATENATE("R10C",'Mapa final'!$O$46),"")</f>
        <v/>
      </c>
      <c r="AK15" s="63" t="str">
        <f>IF(AND('Mapa final'!$Y$47="Muy Alta",'Mapa final'!$AA$47="Catastrófico"),CONCATENATE("R10C",'Mapa final'!$O$47),"")</f>
        <v/>
      </c>
      <c r="AL15" s="63" t="str">
        <f>IF(AND('Mapa final'!$Y$48="Muy Alta",'Mapa final'!$AA$48="Catastrófico"),CONCATENATE("R10C",'Mapa final'!$O$48),"")</f>
        <v/>
      </c>
      <c r="AM15" s="64" t="str">
        <f>IF(AND('Mapa final'!$Y$49="Muy Alta",'Mapa final'!$AA$49="Catastrófico"),CONCATENATE("R10C",'Mapa final'!$O$49),"")</f>
        <v/>
      </c>
      <c r="AN15" s="84"/>
      <c r="AO15" s="387"/>
      <c r="AP15" s="388"/>
      <c r="AQ15" s="388"/>
      <c r="AR15" s="388"/>
      <c r="AS15" s="388"/>
      <c r="AT15" s="389"/>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45">
      <c r="A16" s="84"/>
      <c r="B16" s="276"/>
      <c r="C16" s="276"/>
      <c r="D16" s="277"/>
      <c r="E16" s="373" t="s">
        <v>115</v>
      </c>
      <c r="F16" s="374"/>
      <c r="G16" s="374"/>
      <c r="H16" s="374"/>
      <c r="I16" s="374"/>
      <c r="J16" s="65" t="str">
        <f>IF(AND('Mapa final'!$Y$10="Alta",'Mapa final'!$AA$10="Leve"),CONCATENATE("R1C",'Mapa final'!$O$10),"")</f>
        <v/>
      </c>
      <c r="K16" s="66" t="e">
        <f>IF(AND('Mapa final'!#REF!="Alta",'Mapa final'!#REF!="Leve"),CONCATENATE("R1C",'Mapa final'!#REF!),"")</f>
        <v>#REF!</v>
      </c>
      <c r="L16" s="66" t="e">
        <f>IF(AND('Mapa final'!#REF!="Alta",'Mapa final'!#REF!="Leve"),CONCATENATE("R1C",'Mapa final'!#REF!),"")</f>
        <v>#REF!</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IF(AND('Mapa final'!$Y$10="Alta",'Mapa final'!$AA$10="Menor"),CONCATENATE("R1C",'Mapa final'!$O$10),"")</f>
        <v/>
      </c>
      <c r="Q16" s="66" t="e">
        <f>IF(AND('Mapa final'!#REF!="Alta",'Mapa final'!#REF!="Menor"),CONCATENATE("R1C",'Mapa final'!#REF!),"")</f>
        <v>#REF!</v>
      </c>
      <c r="R16" s="66" t="e">
        <f>IF(AND('Mapa final'!#REF!="Alta",'Mapa final'!#REF!="Menor"),CONCATENATE("R1C",'Mapa final'!#REF!),"")</f>
        <v>#REF!</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64" t="s">
        <v>80</v>
      </c>
      <c r="AP16" s="365"/>
      <c r="AQ16" s="365"/>
      <c r="AR16" s="365"/>
      <c r="AS16" s="365"/>
      <c r="AT16" s="366"/>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45">
      <c r="A17" s="84"/>
      <c r="B17" s="276"/>
      <c r="C17" s="276"/>
      <c r="D17" s="277"/>
      <c r="E17" s="375"/>
      <c r="F17" s="376"/>
      <c r="G17" s="376"/>
      <c r="H17" s="376"/>
      <c r="I17" s="376"/>
      <c r="J17" s="68" t="str">
        <f>IF(AND('Mapa final'!$Y$11="Alta",'Mapa final'!$AA$11="Leve"),CONCATENATE("R2C",'Mapa final'!$O$11),"")</f>
        <v/>
      </c>
      <c r="K17" s="69" t="e">
        <f>IF(AND('Mapa final'!#REF!="Alta",'Mapa final'!#REF!="Leve"),CONCATENATE("R2C",'Mapa final'!#REF!),"")</f>
        <v>#REF!</v>
      </c>
      <c r="L17" s="69" t="e">
        <f>IF(AND('Mapa final'!#REF!="Alta",'Mapa final'!#REF!="Leve"),CONCATENATE("R2C",'Mapa final'!#REF!),"")</f>
        <v>#REF!</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str">
        <f>IF(AND('Mapa final'!$Y$11="Alta",'Mapa final'!$AA$11="Menor"),CONCATENATE("R2C",'Mapa final'!$O$11),"")</f>
        <v/>
      </c>
      <c r="Q17" s="69" t="e">
        <f>IF(AND('Mapa final'!#REF!="Alta",'Mapa final'!#REF!="Menor"),CONCATENATE("R2C",'Mapa final'!#REF!),"")</f>
        <v>#REF!</v>
      </c>
      <c r="R17" s="69" t="e">
        <f>IF(AND('Mapa final'!#REF!="Alta",'Mapa final'!#REF!="Menor"),CONCATENATE("R2C",'Mapa final'!#REF!),"")</f>
        <v>#REF!</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367"/>
      <c r="AP17" s="368"/>
      <c r="AQ17" s="368"/>
      <c r="AR17" s="368"/>
      <c r="AS17" s="368"/>
      <c r="AT17" s="369"/>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45">
      <c r="A18" s="84"/>
      <c r="B18" s="276"/>
      <c r="C18" s="276"/>
      <c r="D18" s="277"/>
      <c r="E18" s="377"/>
      <c r="F18" s="378"/>
      <c r="G18" s="378"/>
      <c r="H18" s="378"/>
      <c r="I18" s="376"/>
      <c r="J18" s="68" t="e">
        <f>IF(AND('Mapa final'!#REF!="Alta",'Mapa final'!#REF!="Leve"),CONCATENATE("R3C",'Mapa final'!#REF!),"")</f>
        <v>#REF!</v>
      </c>
      <c r="K18" s="69" t="str">
        <f>IF(AND('Mapa final'!$Y$12="Alta",'Mapa final'!$AA$12="Leve"),CONCATENATE("R3C",'Mapa final'!$O$12),"")</f>
        <v/>
      </c>
      <c r="L18" s="69" t="e">
        <f>IF(AND('Mapa final'!#REF!="Alta",'Mapa final'!#REF!="Leve"),CONCATENATE("R3C",'Mapa final'!#REF!),"")</f>
        <v>#REF!</v>
      </c>
      <c r="M18" s="69" t="e">
        <f>IF(AND('Mapa final'!#REF!="Alta",'Mapa final'!#REF!="Leve"),CONCATENATE("R3C",'Mapa final'!#REF!),"")</f>
        <v>#REF!</v>
      </c>
      <c r="N18" s="69" t="e">
        <f>IF(AND('Mapa final'!#REF!="Alta",'Mapa final'!#REF!="Leve"),CONCATENATE("R3C",'Mapa final'!#REF!),"")</f>
        <v>#REF!</v>
      </c>
      <c r="O18" s="70" t="e">
        <f>IF(AND('Mapa final'!#REF!="Alta",'Mapa final'!#REF!="Leve"),CONCATENATE("R3C",'Mapa final'!#REF!),"")</f>
        <v>#REF!</v>
      </c>
      <c r="P18" s="68" t="e">
        <f>IF(AND('Mapa final'!#REF!="Alta",'Mapa final'!#REF!="Menor"),CONCATENATE("R3C",'Mapa final'!#REF!),"")</f>
        <v>#REF!</v>
      </c>
      <c r="Q18" s="69" t="str">
        <f>IF(AND('Mapa final'!$Y$12="Alta",'Mapa final'!$AA$12="Menor"),CONCATENATE("R3C",'Mapa final'!$O$12),"")</f>
        <v/>
      </c>
      <c r="R18" s="69" t="e">
        <f>IF(AND('Mapa final'!#REF!="Alta",'Mapa final'!#REF!="Menor"),CONCATENATE("R3C",'Mapa final'!#REF!),"")</f>
        <v>#REF!</v>
      </c>
      <c r="S18" s="69" t="e">
        <f>IF(AND('Mapa final'!#REF!="Alta",'Mapa final'!#REF!="Menor"),CONCATENATE("R3C",'Mapa final'!#REF!),"")</f>
        <v>#REF!</v>
      </c>
      <c r="T18" s="69" t="e">
        <f>IF(AND('Mapa final'!#REF!="Alta",'Mapa final'!#REF!="Menor"),CONCATENATE("R3C",'Mapa final'!#REF!),"")</f>
        <v>#REF!</v>
      </c>
      <c r="U18" s="70" t="e">
        <f>IF(AND('Mapa final'!#REF!="Alta",'Mapa final'!#REF!="Menor"),CONCATENATE("R3C",'Mapa final'!#REF!),"")</f>
        <v>#REF!</v>
      </c>
      <c r="V18" s="52" t="e">
        <f>IF(AND('Mapa final'!#REF!="Alta",'Mapa final'!#REF!="Moderado"),CONCATENATE("R3C",'Mapa final'!#REF!),"")</f>
        <v>#REF!</v>
      </c>
      <c r="W18" s="53" t="str">
        <f>IF(AND('Mapa final'!$Y$12="Alta",'Mapa final'!$AA$12="Moderado"),CONCATENATE("R3C",'Mapa final'!$O$12),"")</f>
        <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e">
        <f>IF(AND('Mapa final'!#REF!="Alta",'Mapa final'!#REF!="Mayor"),CONCATENATE("R3C",'Mapa final'!#REF!),"")</f>
        <v>#REF!</v>
      </c>
      <c r="AC18" s="53" t="str">
        <f>IF(AND('Mapa final'!$Y$12="Alta",'Mapa final'!$AA$12="Mayor"),CONCATENATE("R3C",'Mapa final'!$O$12),"")</f>
        <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e">
        <f>IF(AND('Mapa final'!#REF!="Alta",'Mapa final'!#REF!="Catastrófico"),CONCATENATE("R3C",'Mapa final'!#REF!),"")</f>
        <v>#REF!</v>
      </c>
      <c r="AI18" s="56" t="str">
        <f>IF(AND('Mapa final'!$Y$12="Alta",'Mapa final'!$AA$12="Catastrófico"),CONCATENATE("R3C",'Mapa final'!$O$12),"")</f>
        <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4"/>
      <c r="AO18" s="367"/>
      <c r="AP18" s="368"/>
      <c r="AQ18" s="368"/>
      <c r="AR18" s="368"/>
      <c r="AS18" s="368"/>
      <c r="AT18" s="369"/>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45">
      <c r="A19" s="84"/>
      <c r="B19" s="276"/>
      <c r="C19" s="276"/>
      <c r="D19" s="277"/>
      <c r="E19" s="377"/>
      <c r="F19" s="378"/>
      <c r="G19" s="378"/>
      <c r="H19" s="378"/>
      <c r="I19" s="376"/>
      <c r="J19" s="68" t="str">
        <f>IF(AND('Mapa final'!$Y$13="Alta",'Mapa final'!$AA$13="Leve"),CONCATENATE("R4C",'Mapa final'!$O$13),"")</f>
        <v/>
      </c>
      <c r="K19" s="69" t="e">
        <f>IF(AND('Mapa final'!#REF!="Alta",'Mapa final'!#REF!="Leve"),CONCATENATE("R4C",'Mapa final'!#REF!),"")</f>
        <v>#REF!</v>
      </c>
      <c r="L19" s="69" t="e">
        <f>IF(AND('Mapa final'!#REF!="Alta",'Mapa final'!#REF!="Leve"),CONCATENATE("R4C",'Mapa final'!#REF!),"")</f>
        <v>#REF!</v>
      </c>
      <c r="M19" s="69" t="e">
        <f>IF(AND('Mapa final'!#REF!="Alta",'Mapa final'!#REF!="Leve"),CONCATENATE("R4C",'Mapa final'!#REF!),"")</f>
        <v>#REF!</v>
      </c>
      <c r="N19" s="69" t="e">
        <f>IF(AND('Mapa final'!#REF!="Alta",'Mapa final'!#REF!="Leve"),CONCATENATE("R4C",'Mapa final'!#REF!),"")</f>
        <v>#REF!</v>
      </c>
      <c r="O19" s="70" t="e">
        <f>IF(AND('Mapa final'!#REF!="Alta",'Mapa final'!#REF!="Leve"),CONCATENATE("R4C",'Mapa final'!#REF!),"")</f>
        <v>#REF!</v>
      </c>
      <c r="P19" s="68" t="str">
        <f>IF(AND('Mapa final'!$Y$13="Alta",'Mapa final'!$AA$13="Menor"),CONCATENATE("R4C",'Mapa final'!$O$13),"")</f>
        <v/>
      </c>
      <c r="Q19" s="69" t="e">
        <f>IF(AND('Mapa final'!#REF!="Alta",'Mapa final'!#REF!="Menor"),CONCATENATE("R4C",'Mapa final'!#REF!),"")</f>
        <v>#REF!</v>
      </c>
      <c r="R19" s="69" t="e">
        <f>IF(AND('Mapa final'!#REF!="Alta",'Mapa final'!#REF!="Menor"),CONCATENATE("R4C",'Mapa final'!#REF!),"")</f>
        <v>#REF!</v>
      </c>
      <c r="S19" s="69" t="e">
        <f>IF(AND('Mapa final'!#REF!="Alta",'Mapa final'!#REF!="Menor"),CONCATENATE("R4C",'Mapa final'!#REF!),"")</f>
        <v>#REF!</v>
      </c>
      <c r="T19" s="69" t="e">
        <f>IF(AND('Mapa final'!#REF!="Alta",'Mapa final'!#REF!="Menor"),CONCATENATE("R4C",'Mapa final'!#REF!),"")</f>
        <v>#REF!</v>
      </c>
      <c r="U19" s="70" t="e">
        <f>IF(AND('Mapa final'!#REF!="Alta",'Mapa final'!#REF!="Menor"),CONCATENATE("R4C",'Mapa final'!#REF!),"")</f>
        <v>#REF!</v>
      </c>
      <c r="V19" s="52" t="str">
        <f>IF(AND('Mapa final'!$Y$13="Alta",'Mapa final'!$AA$13="Moderado"),CONCATENATE("R4C",'Mapa final'!$O$13),"")</f>
        <v/>
      </c>
      <c r="W19" s="53" t="e">
        <f>IF(AND('Mapa final'!#REF!="Alta",'Mapa final'!#REF!="Moderado"),CONCATENATE("R4C",'Mapa final'!#REF!),"")</f>
        <v>#REF!</v>
      </c>
      <c r="X19" s="58" t="e">
        <f>IF(AND('Mapa final'!#REF!="Alta",'Mapa final'!#REF!="Moderado"),CONCATENATE("R4C",'Mapa final'!#REF!),"")</f>
        <v>#REF!</v>
      </c>
      <c r="Y19" s="58" t="e">
        <f>IF(AND('Mapa final'!#REF!="Alta",'Mapa final'!#REF!="Moderado"),CONCATENATE("R4C",'Mapa final'!#REF!),"")</f>
        <v>#REF!</v>
      </c>
      <c r="Z19" s="58" t="e">
        <f>IF(AND('Mapa final'!#REF!="Alta",'Mapa final'!#REF!="Moderado"),CONCATENATE("R4C",'Mapa final'!#REF!),"")</f>
        <v>#REF!</v>
      </c>
      <c r="AA19" s="54" t="e">
        <f>IF(AND('Mapa final'!#REF!="Alta",'Mapa final'!#REF!="Moderado"),CONCATENATE("R4C",'Mapa final'!#REF!),"")</f>
        <v>#REF!</v>
      </c>
      <c r="AB19" s="52" t="str">
        <f>IF(AND('Mapa final'!$Y$13="Alta",'Mapa final'!$AA$13="Mayor"),CONCATENATE("R4C",'Mapa final'!$O$13),"")</f>
        <v/>
      </c>
      <c r="AC19" s="53" t="e">
        <f>IF(AND('Mapa final'!#REF!="Alta",'Mapa final'!#REF!="Mayor"),CONCATENATE("R4C",'Mapa final'!#REF!),"")</f>
        <v>#REF!</v>
      </c>
      <c r="AD19" s="58" t="e">
        <f>IF(AND('Mapa final'!#REF!="Alta",'Mapa final'!#REF!="Mayor"),CONCATENATE("R4C",'Mapa final'!#REF!),"")</f>
        <v>#REF!</v>
      </c>
      <c r="AE19" s="58" t="e">
        <f>IF(AND('Mapa final'!#REF!="Alta",'Mapa final'!#REF!="Mayor"),CONCATENATE("R4C",'Mapa final'!#REF!),"")</f>
        <v>#REF!</v>
      </c>
      <c r="AF19" s="58" t="e">
        <f>IF(AND('Mapa final'!#REF!="Alta",'Mapa final'!#REF!="Mayor"),CONCATENATE("R4C",'Mapa final'!#REF!),"")</f>
        <v>#REF!</v>
      </c>
      <c r="AG19" s="54" t="e">
        <f>IF(AND('Mapa final'!#REF!="Alta",'Mapa final'!#REF!="Mayor"),CONCATENATE("R4C",'Mapa final'!#REF!),"")</f>
        <v>#REF!</v>
      </c>
      <c r="AH19" s="55" t="str">
        <f>IF(AND('Mapa final'!$Y$13="Alta",'Mapa final'!$AA$13="Catastrófico"),CONCATENATE("R4C",'Mapa final'!$O$13),"")</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4"/>
      <c r="AO19" s="367"/>
      <c r="AP19" s="368"/>
      <c r="AQ19" s="368"/>
      <c r="AR19" s="368"/>
      <c r="AS19" s="368"/>
      <c r="AT19" s="369"/>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45">
      <c r="A20" s="84"/>
      <c r="B20" s="276"/>
      <c r="C20" s="276"/>
      <c r="D20" s="277"/>
      <c r="E20" s="377"/>
      <c r="F20" s="378"/>
      <c r="G20" s="378"/>
      <c r="H20" s="378"/>
      <c r="I20" s="376"/>
      <c r="J20" s="68" t="str">
        <f>IF(AND('Mapa final'!$Y$14="Alta",'Mapa final'!$AA$14="Leve"),CONCATENATE("R5C",'Mapa final'!$O$14),"")</f>
        <v/>
      </c>
      <c r="K20" s="69" t="str">
        <f>IF(AND('Mapa final'!$Y$15="Alta",'Mapa final'!$AA$15="Leve"),CONCATENATE("R5C",'Mapa final'!$O$15),"")</f>
        <v/>
      </c>
      <c r="L20" s="69" t="str">
        <f>IF(AND('Mapa final'!$Y$16="Alta",'Mapa final'!$AA$16="Leve"),CONCATENATE("R5C",'Mapa final'!$O$16),"")</f>
        <v/>
      </c>
      <c r="M20" s="69" t="str">
        <f>IF(AND('Mapa final'!$Y$17="Alta",'Mapa final'!$AA$17="Leve"),CONCATENATE("R5C",'Mapa final'!$O$17),"")</f>
        <v/>
      </c>
      <c r="N20" s="69" t="str">
        <f>IF(AND('Mapa final'!$Y$18="Alta",'Mapa final'!$AA$18="Leve"),CONCATENATE("R5C",'Mapa final'!$O$18),"")</f>
        <v/>
      </c>
      <c r="O20" s="70" t="str">
        <f>IF(AND('Mapa final'!$Y$19="Alta",'Mapa final'!$AA$19="Leve"),CONCATENATE("R5C",'Mapa final'!$O$19),"")</f>
        <v/>
      </c>
      <c r="P20" s="68" t="str">
        <f>IF(AND('Mapa final'!$Y$14="Alta",'Mapa final'!$AA$14="Menor"),CONCATENATE("R5C",'Mapa final'!$O$14),"")</f>
        <v/>
      </c>
      <c r="Q20" s="69" t="str">
        <f>IF(AND('Mapa final'!$Y$15="Alta",'Mapa final'!$AA$15="Menor"),CONCATENATE("R5C",'Mapa final'!$O$15),"")</f>
        <v/>
      </c>
      <c r="R20" s="69" t="str">
        <f>IF(AND('Mapa final'!$Y$16="Alta",'Mapa final'!$AA$16="Menor"),CONCATENATE("R5C",'Mapa final'!$O$16),"")</f>
        <v/>
      </c>
      <c r="S20" s="69" t="str">
        <f>IF(AND('Mapa final'!$Y$17="Alta",'Mapa final'!$AA$17="Menor"),CONCATENATE("R5C",'Mapa final'!$O$17),"")</f>
        <v/>
      </c>
      <c r="T20" s="69" t="str">
        <f>IF(AND('Mapa final'!$Y$18="Alta",'Mapa final'!$AA$18="Menor"),CONCATENATE("R5C",'Mapa final'!$O$18),"")</f>
        <v/>
      </c>
      <c r="U20" s="70" t="str">
        <f>IF(AND('Mapa final'!$Y$19="Alta",'Mapa final'!$AA$19="Menor"),CONCATENATE("R5C",'Mapa final'!$O$19),"")</f>
        <v/>
      </c>
      <c r="V20" s="52" t="str">
        <f>IF(AND('Mapa final'!$Y$14="Alta",'Mapa final'!$AA$14="Moderado"),CONCATENATE("R5C",'Mapa final'!$O$14),"")</f>
        <v/>
      </c>
      <c r="W20" s="53" t="str">
        <f>IF(AND('Mapa final'!$Y$15="Alta",'Mapa final'!$AA$15="Moderado"),CONCATENATE("R5C",'Mapa final'!$O$15),"")</f>
        <v/>
      </c>
      <c r="X20" s="58" t="str">
        <f>IF(AND('Mapa final'!$Y$16="Alta",'Mapa final'!$AA$16="Moderado"),CONCATENATE("R5C",'Mapa final'!$O$16),"")</f>
        <v/>
      </c>
      <c r="Y20" s="58" t="str">
        <f>IF(AND('Mapa final'!$Y$17="Alta",'Mapa final'!$AA$17="Moderado"),CONCATENATE("R5C",'Mapa final'!$O$17),"")</f>
        <v/>
      </c>
      <c r="Z20" s="58" t="str">
        <f>IF(AND('Mapa final'!$Y$18="Alta",'Mapa final'!$AA$18="Moderado"),CONCATENATE("R5C",'Mapa final'!$O$18),"")</f>
        <v/>
      </c>
      <c r="AA20" s="54" t="str">
        <f>IF(AND('Mapa final'!$Y$19="Alta",'Mapa final'!$AA$19="Moderado"),CONCATENATE("R5C",'Mapa final'!$O$19),"")</f>
        <v/>
      </c>
      <c r="AB20" s="52" t="str">
        <f>IF(AND('Mapa final'!$Y$14="Alta",'Mapa final'!$AA$14="Mayor"),CONCATENATE("R5C",'Mapa final'!$O$14),"")</f>
        <v/>
      </c>
      <c r="AC20" s="53" t="str">
        <f>IF(AND('Mapa final'!$Y$15="Alta",'Mapa final'!$AA$15="Mayor"),CONCATENATE("R5C",'Mapa final'!$O$15),"")</f>
        <v/>
      </c>
      <c r="AD20" s="58" t="str">
        <f>IF(AND('Mapa final'!$Y$16="Alta",'Mapa final'!$AA$16="Mayor"),CONCATENATE("R5C",'Mapa final'!$O$16),"")</f>
        <v/>
      </c>
      <c r="AE20" s="58" t="str">
        <f>IF(AND('Mapa final'!$Y$17="Alta",'Mapa final'!$AA$17="Mayor"),CONCATENATE("R5C",'Mapa final'!$O$17),"")</f>
        <v/>
      </c>
      <c r="AF20" s="58" t="str">
        <f>IF(AND('Mapa final'!$Y$18="Alta",'Mapa final'!$AA$18="Mayor"),CONCATENATE("R5C",'Mapa final'!$O$18),"")</f>
        <v/>
      </c>
      <c r="AG20" s="54" t="str">
        <f>IF(AND('Mapa final'!$Y$19="Alta",'Mapa final'!$AA$19="Mayor"),CONCATENATE("R5C",'Mapa final'!$O$19),"")</f>
        <v/>
      </c>
      <c r="AH20" s="55" t="str">
        <f>IF(AND('Mapa final'!$Y$14="Alta",'Mapa final'!$AA$14="Catastrófico"),CONCATENATE("R5C",'Mapa final'!$O$14),"")</f>
        <v/>
      </c>
      <c r="AI20" s="56" t="str">
        <f>IF(AND('Mapa final'!$Y$15="Alta",'Mapa final'!$AA$15="Catastrófico"),CONCATENATE("R5C",'Mapa final'!$O$15),"")</f>
        <v/>
      </c>
      <c r="AJ20" s="56" t="str">
        <f>IF(AND('Mapa final'!$Y$16="Alta",'Mapa final'!$AA$16="Catastrófico"),CONCATENATE("R5C",'Mapa final'!$O$16),"")</f>
        <v/>
      </c>
      <c r="AK20" s="56" t="str">
        <f>IF(AND('Mapa final'!$Y$17="Alta",'Mapa final'!$AA$17="Catastrófico"),CONCATENATE("R5C",'Mapa final'!$O$17),"")</f>
        <v/>
      </c>
      <c r="AL20" s="56" t="str">
        <f>IF(AND('Mapa final'!$Y$18="Alta",'Mapa final'!$AA$18="Catastrófico"),CONCATENATE("R5C",'Mapa final'!$O$18),"")</f>
        <v/>
      </c>
      <c r="AM20" s="57" t="str">
        <f>IF(AND('Mapa final'!$Y$19="Alta",'Mapa final'!$AA$19="Catastrófico"),CONCATENATE("R5C",'Mapa final'!$O$19),"")</f>
        <v/>
      </c>
      <c r="AN20" s="84"/>
      <c r="AO20" s="367"/>
      <c r="AP20" s="368"/>
      <c r="AQ20" s="368"/>
      <c r="AR20" s="368"/>
      <c r="AS20" s="368"/>
      <c r="AT20" s="369"/>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45">
      <c r="A21" s="84"/>
      <c r="B21" s="276"/>
      <c r="C21" s="276"/>
      <c r="D21" s="277"/>
      <c r="E21" s="377"/>
      <c r="F21" s="378"/>
      <c r="G21" s="378"/>
      <c r="H21" s="378"/>
      <c r="I21" s="376"/>
      <c r="J21" s="68" t="str">
        <f>IF(AND('Mapa final'!$Y$20="Alta",'Mapa final'!$AA$20="Leve"),CONCATENATE("R6C",'Mapa final'!$O$20),"")</f>
        <v/>
      </c>
      <c r="K21" s="69" t="str">
        <f>IF(AND('Mapa final'!$Y$21="Alta",'Mapa final'!$AA$21="Leve"),CONCATENATE("R6C",'Mapa final'!$O$21),"")</f>
        <v/>
      </c>
      <c r="L21" s="69" t="str">
        <f>IF(AND('Mapa final'!$Y$22="Alta",'Mapa final'!$AA$22="Leve"),CONCATENATE("R6C",'Mapa final'!$O$22),"")</f>
        <v/>
      </c>
      <c r="M21" s="69" t="str">
        <f>IF(AND('Mapa final'!$Y$23="Alta",'Mapa final'!$AA$23="Leve"),CONCATENATE("R6C",'Mapa final'!$O$23),"")</f>
        <v/>
      </c>
      <c r="N21" s="69" t="str">
        <f>IF(AND('Mapa final'!$Y$24="Alta",'Mapa final'!$AA$24="Leve"),CONCATENATE("R6C",'Mapa final'!$O$24),"")</f>
        <v/>
      </c>
      <c r="O21" s="70" t="str">
        <f>IF(AND('Mapa final'!$Y$25="Alta",'Mapa final'!$AA$25="Leve"),CONCATENATE("R6C",'Mapa final'!$O$25),"")</f>
        <v/>
      </c>
      <c r="P21" s="68" t="str">
        <f>IF(AND('Mapa final'!$Y$20="Alta",'Mapa final'!$AA$20="Menor"),CONCATENATE("R6C",'Mapa final'!$O$20),"")</f>
        <v/>
      </c>
      <c r="Q21" s="69" t="str">
        <f>IF(AND('Mapa final'!$Y$21="Alta",'Mapa final'!$AA$21="Menor"),CONCATENATE("R6C",'Mapa final'!$O$21),"")</f>
        <v/>
      </c>
      <c r="R21" s="69" t="str">
        <f>IF(AND('Mapa final'!$Y$22="Alta",'Mapa final'!$AA$22="Menor"),CONCATENATE("R6C",'Mapa final'!$O$22),"")</f>
        <v/>
      </c>
      <c r="S21" s="69" t="str">
        <f>IF(AND('Mapa final'!$Y$23="Alta",'Mapa final'!$AA$23="Menor"),CONCATENATE("R6C",'Mapa final'!$O$23),"")</f>
        <v/>
      </c>
      <c r="T21" s="69" t="str">
        <f>IF(AND('Mapa final'!$Y$24="Alta",'Mapa final'!$AA$24="Menor"),CONCATENATE("R6C",'Mapa final'!$O$24),"")</f>
        <v/>
      </c>
      <c r="U21" s="70" t="str">
        <f>IF(AND('Mapa final'!$Y$25="Alta",'Mapa final'!$AA$25="Menor"),CONCATENATE("R6C",'Mapa final'!$O$25),"")</f>
        <v/>
      </c>
      <c r="V21" s="52" t="str">
        <f>IF(AND('Mapa final'!$Y$20="Alta",'Mapa final'!$AA$20="Moderado"),CONCATENATE("R6C",'Mapa final'!$O$20),"")</f>
        <v/>
      </c>
      <c r="W21" s="53" t="str">
        <f>IF(AND('Mapa final'!$Y$21="Alta",'Mapa final'!$AA$21="Moderado"),CONCATENATE("R6C",'Mapa final'!$O$21),"")</f>
        <v/>
      </c>
      <c r="X21" s="58" t="str">
        <f>IF(AND('Mapa final'!$Y$22="Alta",'Mapa final'!$AA$22="Moderado"),CONCATENATE("R6C",'Mapa final'!$O$22),"")</f>
        <v/>
      </c>
      <c r="Y21" s="58" t="str">
        <f>IF(AND('Mapa final'!$Y$23="Alta",'Mapa final'!$AA$23="Moderado"),CONCATENATE("R6C",'Mapa final'!$O$23),"")</f>
        <v/>
      </c>
      <c r="Z21" s="58" t="str">
        <f>IF(AND('Mapa final'!$Y$24="Alta",'Mapa final'!$AA$24="Moderado"),CONCATENATE("R6C",'Mapa final'!$O$24),"")</f>
        <v/>
      </c>
      <c r="AA21" s="54" t="str">
        <f>IF(AND('Mapa final'!$Y$25="Alta",'Mapa final'!$AA$25="Moderado"),CONCATENATE("R6C",'Mapa final'!$O$25),"")</f>
        <v/>
      </c>
      <c r="AB21" s="52" t="str">
        <f>IF(AND('Mapa final'!$Y$20="Alta",'Mapa final'!$AA$20="Mayor"),CONCATENATE("R6C",'Mapa final'!$O$20),"")</f>
        <v/>
      </c>
      <c r="AC21" s="53" t="str">
        <f>IF(AND('Mapa final'!$Y$21="Alta",'Mapa final'!$AA$21="Mayor"),CONCATENATE("R6C",'Mapa final'!$O$21),"")</f>
        <v/>
      </c>
      <c r="AD21" s="58" t="str">
        <f>IF(AND('Mapa final'!$Y$22="Alta",'Mapa final'!$AA$22="Mayor"),CONCATENATE("R6C",'Mapa final'!$O$22),"")</f>
        <v/>
      </c>
      <c r="AE21" s="58" t="str">
        <f>IF(AND('Mapa final'!$Y$23="Alta",'Mapa final'!$AA$23="Mayor"),CONCATENATE("R6C",'Mapa final'!$O$23),"")</f>
        <v/>
      </c>
      <c r="AF21" s="58" t="str">
        <f>IF(AND('Mapa final'!$Y$24="Alta",'Mapa final'!$AA$24="Mayor"),CONCATENATE("R6C",'Mapa final'!$O$24),"")</f>
        <v/>
      </c>
      <c r="AG21" s="54" t="str">
        <f>IF(AND('Mapa final'!$Y$25="Alta",'Mapa final'!$AA$25="Mayor"),CONCATENATE("R6C",'Mapa final'!$O$25),"")</f>
        <v/>
      </c>
      <c r="AH21" s="55" t="str">
        <f>IF(AND('Mapa final'!$Y$20="Alta",'Mapa final'!$AA$20="Catastrófico"),CONCATENATE("R6C",'Mapa final'!$O$20),"")</f>
        <v/>
      </c>
      <c r="AI21" s="56" t="str">
        <f>IF(AND('Mapa final'!$Y$21="Alta",'Mapa final'!$AA$21="Catastrófico"),CONCATENATE("R6C",'Mapa final'!$O$21),"")</f>
        <v/>
      </c>
      <c r="AJ21" s="56" t="str">
        <f>IF(AND('Mapa final'!$Y$22="Alta",'Mapa final'!$AA$22="Catastrófico"),CONCATENATE("R6C",'Mapa final'!$O$22),"")</f>
        <v/>
      </c>
      <c r="AK21" s="56" t="str">
        <f>IF(AND('Mapa final'!$Y$23="Alta",'Mapa final'!$AA$23="Catastrófico"),CONCATENATE("R6C",'Mapa final'!$O$23),"")</f>
        <v/>
      </c>
      <c r="AL21" s="56" t="str">
        <f>IF(AND('Mapa final'!$Y$24="Alta",'Mapa final'!$AA$24="Catastrófico"),CONCATENATE("R6C",'Mapa final'!$O$24),"")</f>
        <v/>
      </c>
      <c r="AM21" s="57" t="str">
        <f>IF(AND('Mapa final'!$Y$25="Alta",'Mapa final'!$AA$25="Catastrófico"),CONCATENATE("R6C",'Mapa final'!$O$25),"")</f>
        <v/>
      </c>
      <c r="AN21" s="84"/>
      <c r="AO21" s="367"/>
      <c r="AP21" s="368"/>
      <c r="AQ21" s="368"/>
      <c r="AR21" s="368"/>
      <c r="AS21" s="368"/>
      <c r="AT21" s="369"/>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45">
      <c r="A22" s="84"/>
      <c r="B22" s="276"/>
      <c r="C22" s="276"/>
      <c r="D22" s="277"/>
      <c r="E22" s="377"/>
      <c r="F22" s="378"/>
      <c r="G22" s="378"/>
      <c r="H22" s="378"/>
      <c r="I22" s="376"/>
      <c r="J22" s="68" t="str">
        <f>IF(AND('Mapa final'!$Y$26="Alta",'Mapa final'!$AA$26="Leve"),CONCATENATE("R7C",'Mapa final'!$O$26),"")</f>
        <v/>
      </c>
      <c r="K22" s="69" t="str">
        <f>IF(AND('Mapa final'!$Y$27="Alta",'Mapa final'!$AA$27="Leve"),CONCATENATE("R7C",'Mapa final'!$O$27),"")</f>
        <v/>
      </c>
      <c r="L22" s="69" t="str">
        <f>IF(AND('Mapa final'!$Y$28="Alta",'Mapa final'!$AA$28="Leve"),CONCATENATE("R7C",'Mapa final'!$O$28),"")</f>
        <v/>
      </c>
      <c r="M22" s="69" t="str">
        <f>IF(AND('Mapa final'!$Y$29="Alta",'Mapa final'!$AA$29="Leve"),CONCATENATE("R7C",'Mapa final'!$O$29),"")</f>
        <v/>
      </c>
      <c r="N22" s="69" t="str">
        <f>IF(AND('Mapa final'!$Y$30="Alta",'Mapa final'!$AA$30="Leve"),CONCATENATE("R7C",'Mapa final'!$O$30),"")</f>
        <v/>
      </c>
      <c r="O22" s="70" t="str">
        <f>IF(AND('Mapa final'!$Y$31="Alta",'Mapa final'!$AA$31="Leve"),CONCATENATE("R7C",'Mapa final'!$O$31),"")</f>
        <v/>
      </c>
      <c r="P22" s="68" t="str">
        <f>IF(AND('Mapa final'!$Y$26="Alta",'Mapa final'!$AA$26="Menor"),CONCATENATE("R7C",'Mapa final'!$O$26),"")</f>
        <v/>
      </c>
      <c r="Q22" s="69" t="str">
        <f>IF(AND('Mapa final'!$Y$27="Alta",'Mapa final'!$AA$27="Menor"),CONCATENATE("R7C",'Mapa final'!$O$27),"")</f>
        <v/>
      </c>
      <c r="R22" s="69" t="str">
        <f>IF(AND('Mapa final'!$Y$28="Alta",'Mapa final'!$AA$28="Menor"),CONCATENATE("R7C",'Mapa final'!$O$28),"")</f>
        <v/>
      </c>
      <c r="S22" s="69" t="str">
        <f>IF(AND('Mapa final'!$Y$29="Alta",'Mapa final'!$AA$29="Menor"),CONCATENATE("R7C",'Mapa final'!$O$29),"")</f>
        <v/>
      </c>
      <c r="T22" s="69" t="str">
        <f>IF(AND('Mapa final'!$Y$30="Alta",'Mapa final'!$AA$30="Menor"),CONCATENATE("R7C",'Mapa final'!$O$30),"")</f>
        <v/>
      </c>
      <c r="U22" s="70" t="str">
        <f>IF(AND('Mapa final'!$Y$31="Alta",'Mapa final'!$AA$31="Menor"),CONCATENATE("R7C",'Mapa final'!$O$31),"")</f>
        <v/>
      </c>
      <c r="V22" s="52" t="str">
        <f>IF(AND('Mapa final'!$Y$26="Alta",'Mapa final'!$AA$26="Moderado"),CONCATENATE("R7C",'Mapa final'!$O$26),"")</f>
        <v/>
      </c>
      <c r="W22" s="53" t="str">
        <f>IF(AND('Mapa final'!$Y$27="Alta",'Mapa final'!$AA$27="Moderado"),CONCATENATE("R7C",'Mapa final'!$O$27),"")</f>
        <v/>
      </c>
      <c r="X22" s="58" t="str">
        <f>IF(AND('Mapa final'!$Y$28="Alta",'Mapa final'!$AA$28="Moderado"),CONCATENATE("R7C",'Mapa final'!$O$28),"")</f>
        <v/>
      </c>
      <c r="Y22" s="58" t="str">
        <f>IF(AND('Mapa final'!$Y$29="Alta",'Mapa final'!$AA$29="Moderado"),CONCATENATE("R7C",'Mapa final'!$O$29),"")</f>
        <v/>
      </c>
      <c r="Z22" s="58" t="str">
        <f>IF(AND('Mapa final'!$Y$30="Alta",'Mapa final'!$AA$30="Moderado"),CONCATENATE("R7C",'Mapa final'!$O$30),"")</f>
        <v/>
      </c>
      <c r="AA22" s="54" t="str">
        <f>IF(AND('Mapa final'!$Y$31="Alta",'Mapa final'!$AA$31="Moderado"),CONCATENATE("R7C",'Mapa final'!$O$31),"")</f>
        <v/>
      </c>
      <c r="AB22" s="52" t="str">
        <f>IF(AND('Mapa final'!$Y$26="Alta",'Mapa final'!$AA$26="Mayor"),CONCATENATE("R7C",'Mapa final'!$O$26),"")</f>
        <v/>
      </c>
      <c r="AC22" s="53" t="str">
        <f>IF(AND('Mapa final'!$Y$27="Alta",'Mapa final'!$AA$27="Mayor"),CONCATENATE("R7C",'Mapa final'!$O$27),"")</f>
        <v/>
      </c>
      <c r="AD22" s="58" t="str">
        <f>IF(AND('Mapa final'!$Y$28="Alta",'Mapa final'!$AA$28="Mayor"),CONCATENATE("R7C",'Mapa final'!$O$28),"")</f>
        <v/>
      </c>
      <c r="AE22" s="58" t="str">
        <f>IF(AND('Mapa final'!$Y$29="Alta",'Mapa final'!$AA$29="Mayor"),CONCATENATE("R7C",'Mapa final'!$O$29),"")</f>
        <v/>
      </c>
      <c r="AF22" s="58" t="str">
        <f>IF(AND('Mapa final'!$Y$30="Alta",'Mapa final'!$AA$30="Mayor"),CONCATENATE("R7C",'Mapa final'!$O$30),"")</f>
        <v/>
      </c>
      <c r="AG22" s="54" t="str">
        <f>IF(AND('Mapa final'!$Y$31="Alta",'Mapa final'!$AA$31="Mayor"),CONCATENATE("R7C",'Mapa final'!$O$31),"")</f>
        <v/>
      </c>
      <c r="AH22" s="55" t="str">
        <f>IF(AND('Mapa final'!$Y$26="Alta",'Mapa final'!$AA$26="Catastrófico"),CONCATENATE("R7C",'Mapa final'!$O$26),"")</f>
        <v/>
      </c>
      <c r="AI22" s="56" t="str">
        <f>IF(AND('Mapa final'!$Y$27="Alta",'Mapa final'!$AA$27="Catastrófico"),CONCATENATE("R7C",'Mapa final'!$O$27),"")</f>
        <v/>
      </c>
      <c r="AJ22" s="56" t="str">
        <f>IF(AND('Mapa final'!$Y$28="Alta",'Mapa final'!$AA$28="Catastrófico"),CONCATENATE("R7C",'Mapa final'!$O$28),"")</f>
        <v/>
      </c>
      <c r="AK22" s="56" t="str">
        <f>IF(AND('Mapa final'!$Y$29="Alta",'Mapa final'!$AA$29="Catastrófico"),CONCATENATE("R7C",'Mapa final'!$O$29),"")</f>
        <v/>
      </c>
      <c r="AL22" s="56" t="str">
        <f>IF(AND('Mapa final'!$Y$30="Alta",'Mapa final'!$AA$30="Catastrófico"),CONCATENATE("R7C",'Mapa final'!$O$30),"")</f>
        <v/>
      </c>
      <c r="AM22" s="57" t="str">
        <f>IF(AND('Mapa final'!$Y$31="Alta",'Mapa final'!$AA$31="Catastrófico"),CONCATENATE("R7C",'Mapa final'!$O$31),"")</f>
        <v/>
      </c>
      <c r="AN22" s="84"/>
      <c r="AO22" s="367"/>
      <c r="AP22" s="368"/>
      <c r="AQ22" s="368"/>
      <c r="AR22" s="368"/>
      <c r="AS22" s="368"/>
      <c r="AT22" s="369"/>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45">
      <c r="A23" s="84"/>
      <c r="B23" s="276"/>
      <c r="C23" s="276"/>
      <c r="D23" s="277"/>
      <c r="E23" s="377"/>
      <c r="F23" s="378"/>
      <c r="G23" s="378"/>
      <c r="H23" s="378"/>
      <c r="I23" s="376"/>
      <c r="J23" s="68" t="str">
        <f>IF(AND('Mapa final'!$Y$32="Alta",'Mapa final'!$AA$32="Leve"),CONCATENATE("R8C",'Mapa final'!$O$32),"")</f>
        <v/>
      </c>
      <c r="K23" s="69" t="str">
        <f>IF(AND('Mapa final'!$Y$33="Alta",'Mapa final'!$AA$33="Leve"),CONCATENATE("R8C",'Mapa final'!$O$33),"")</f>
        <v/>
      </c>
      <c r="L23" s="69" t="str">
        <f>IF(AND('Mapa final'!$Y$34="Alta",'Mapa final'!$AA$34="Leve"),CONCATENATE("R8C",'Mapa final'!$O$34),"")</f>
        <v/>
      </c>
      <c r="M23" s="69" t="str">
        <f>IF(AND('Mapa final'!$Y$35="Alta",'Mapa final'!$AA$35="Leve"),CONCATENATE("R8C",'Mapa final'!$O$35),"")</f>
        <v/>
      </c>
      <c r="N23" s="69" t="str">
        <f>IF(AND('Mapa final'!$Y$36="Alta",'Mapa final'!$AA$36="Leve"),CONCATENATE("R8C",'Mapa final'!$O$36),"")</f>
        <v/>
      </c>
      <c r="O23" s="70" t="str">
        <f>IF(AND('Mapa final'!$Y$37="Alta",'Mapa final'!$AA$37="Leve"),CONCATENATE("R8C",'Mapa final'!$O$37),"")</f>
        <v/>
      </c>
      <c r="P23" s="68" t="str">
        <f>IF(AND('Mapa final'!$Y$32="Alta",'Mapa final'!$AA$32="Menor"),CONCATENATE("R8C",'Mapa final'!$O$32),"")</f>
        <v/>
      </c>
      <c r="Q23" s="69" t="str">
        <f>IF(AND('Mapa final'!$Y$33="Alta",'Mapa final'!$AA$33="Menor"),CONCATENATE("R8C",'Mapa final'!$O$33),"")</f>
        <v/>
      </c>
      <c r="R23" s="69" t="str">
        <f>IF(AND('Mapa final'!$Y$34="Alta",'Mapa final'!$AA$34="Menor"),CONCATENATE("R8C",'Mapa final'!$O$34),"")</f>
        <v/>
      </c>
      <c r="S23" s="69" t="str">
        <f>IF(AND('Mapa final'!$Y$35="Alta",'Mapa final'!$AA$35="Menor"),CONCATENATE("R8C",'Mapa final'!$O$35),"")</f>
        <v/>
      </c>
      <c r="T23" s="69" t="str">
        <f>IF(AND('Mapa final'!$Y$36="Alta",'Mapa final'!$AA$36="Menor"),CONCATENATE("R8C",'Mapa final'!$O$36),"")</f>
        <v/>
      </c>
      <c r="U23" s="70" t="str">
        <f>IF(AND('Mapa final'!$Y$37="Alta",'Mapa final'!$AA$37="Menor"),CONCATENATE("R8C",'Mapa final'!$O$37),"")</f>
        <v/>
      </c>
      <c r="V23" s="52" t="str">
        <f>IF(AND('Mapa final'!$Y$32="Alta",'Mapa final'!$AA$32="Moderado"),CONCATENATE("R8C",'Mapa final'!$O$32),"")</f>
        <v/>
      </c>
      <c r="W23" s="53" t="str">
        <f>IF(AND('Mapa final'!$Y$33="Alta",'Mapa final'!$AA$33="Moderado"),CONCATENATE("R8C",'Mapa final'!$O$33),"")</f>
        <v/>
      </c>
      <c r="X23" s="58" t="str">
        <f>IF(AND('Mapa final'!$Y$34="Alta",'Mapa final'!$AA$34="Moderado"),CONCATENATE("R8C",'Mapa final'!$O$34),"")</f>
        <v/>
      </c>
      <c r="Y23" s="58" t="str">
        <f>IF(AND('Mapa final'!$Y$35="Alta",'Mapa final'!$AA$35="Moderado"),CONCATENATE("R8C",'Mapa final'!$O$35),"")</f>
        <v/>
      </c>
      <c r="Z23" s="58" t="str">
        <f>IF(AND('Mapa final'!$Y$36="Alta",'Mapa final'!$AA$36="Moderado"),CONCATENATE("R8C",'Mapa final'!$O$36),"")</f>
        <v/>
      </c>
      <c r="AA23" s="54" t="str">
        <f>IF(AND('Mapa final'!$Y$37="Alta",'Mapa final'!$AA$37="Moderado"),CONCATENATE("R8C",'Mapa final'!$O$37),"")</f>
        <v/>
      </c>
      <c r="AB23" s="52" t="str">
        <f>IF(AND('Mapa final'!$Y$32="Alta",'Mapa final'!$AA$32="Mayor"),CONCATENATE("R8C",'Mapa final'!$O$32),"")</f>
        <v/>
      </c>
      <c r="AC23" s="53" t="str">
        <f>IF(AND('Mapa final'!$Y$33="Alta",'Mapa final'!$AA$33="Mayor"),CONCATENATE("R8C",'Mapa final'!$O$33),"")</f>
        <v/>
      </c>
      <c r="AD23" s="58" t="str">
        <f>IF(AND('Mapa final'!$Y$34="Alta",'Mapa final'!$AA$34="Mayor"),CONCATENATE("R8C",'Mapa final'!$O$34),"")</f>
        <v/>
      </c>
      <c r="AE23" s="58" t="str">
        <f>IF(AND('Mapa final'!$Y$35="Alta",'Mapa final'!$AA$35="Mayor"),CONCATENATE("R8C",'Mapa final'!$O$35),"")</f>
        <v/>
      </c>
      <c r="AF23" s="58" t="str">
        <f>IF(AND('Mapa final'!$Y$36="Alta",'Mapa final'!$AA$36="Mayor"),CONCATENATE("R8C",'Mapa final'!$O$36),"")</f>
        <v/>
      </c>
      <c r="AG23" s="54" t="str">
        <f>IF(AND('Mapa final'!$Y$37="Alta",'Mapa final'!$AA$37="Mayor"),CONCATENATE("R8C",'Mapa final'!$O$37),"")</f>
        <v/>
      </c>
      <c r="AH23" s="55" t="str">
        <f>IF(AND('Mapa final'!$Y$32="Alta",'Mapa final'!$AA$32="Catastrófico"),CONCATENATE("R8C",'Mapa final'!$O$32),"")</f>
        <v/>
      </c>
      <c r="AI23" s="56" t="str">
        <f>IF(AND('Mapa final'!$Y$33="Alta",'Mapa final'!$AA$33="Catastrófico"),CONCATENATE("R8C",'Mapa final'!$O$33),"")</f>
        <v/>
      </c>
      <c r="AJ23" s="56" t="str">
        <f>IF(AND('Mapa final'!$Y$34="Alta",'Mapa final'!$AA$34="Catastrófico"),CONCATENATE("R8C",'Mapa final'!$O$34),"")</f>
        <v/>
      </c>
      <c r="AK23" s="56" t="str">
        <f>IF(AND('Mapa final'!$Y$35="Alta",'Mapa final'!$AA$35="Catastrófico"),CONCATENATE("R8C",'Mapa final'!$O$35),"")</f>
        <v/>
      </c>
      <c r="AL23" s="56" t="str">
        <f>IF(AND('Mapa final'!$Y$36="Alta",'Mapa final'!$AA$36="Catastrófico"),CONCATENATE("R8C",'Mapa final'!$O$36),"")</f>
        <v/>
      </c>
      <c r="AM23" s="57" t="str">
        <f>IF(AND('Mapa final'!$Y$37="Alta",'Mapa final'!$AA$37="Catastrófico"),CONCATENATE("R8C",'Mapa final'!$O$37),"")</f>
        <v/>
      </c>
      <c r="AN23" s="84"/>
      <c r="AO23" s="367"/>
      <c r="AP23" s="368"/>
      <c r="AQ23" s="368"/>
      <c r="AR23" s="368"/>
      <c r="AS23" s="368"/>
      <c r="AT23" s="369"/>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45">
      <c r="A24" s="84"/>
      <c r="B24" s="276"/>
      <c r="C24" s="276"/>
      <c r="D24" s="277"/>
      <c r="E24" s="377"/>
      <c r="F24" s="378"/>
      <c r="G24" s="378"/>
      <c r="H24" s="378"/>
      <c r="I24" s="376"/>
      <c r="J24" s="68" t="str">
        <f>IF(AND('Mapa final'!$Y$38="Alta",'Mapa final'!$AA$38="Leve"),CONCATENATE("R9C",'Mapa final'!$O$38),"")</f>
        <v/>
      </c>
      <c r="K24" s="69" t="str">
        <f>IF(AND('Mapa final'!$Y$39="Alta",'Mapa final'!$AA$39="Leve"),CONCATENATE("R9C",'Mapa final'!$O$39),"")</f>
        <v/>
      </c>
      <c r="L24" s="69" t="str">
        <f>IF(AND('Mapa final'!$Y$40="Alta",'Mapa final'!$AA$40="Leve"),CONCATENATE("R9C",'Mapa final'!$O$40),"")</f>
        <v/>
      </c>
      <c r="M24" s="69" t="str">
        <f>IF(AND('Mapa final'!$Y$41="Alta",'Mapa final'!$AA$41="Leve"),CONCATENATE("R9C",'Mapa final'!$O$41),"")</f>
        <v/>
      </c>
      <c r="N24" s="69" t="str">
        <f>IF(AND('Mapa final'!$Y$42="Alta",'Mapa final'!$AA$42="Leve"),CONCATENATE("R9C",'Mapa final'!$O$42),"")</f>
        <v/>
      </c>
      <c r="O24" s="70" t="str">
        <f>IF(AND('Mapa final'!$Y$43="Alta",'Mapa final'!$AA$43="Leve"),CONCATENATE("R9C",'Mapa final'!$O$43),"")</f>
        <v/>
      </c>
      <c r="P24" s="68" t="str">
        <f>IF(AND('Mapa final'!$Y$38="Alta",'Mapa final'!$AA$38="Menor"),CONCATENATE("R9C",'Mapa final'!$O$38),"")</f>
        <v/>
      </c>
      <c r="Q24" s="69" t="str">
        <f>IF(AND('Mapa final'!$Y$39="Alta",'Mapa final'!$AA$39="Menor"),CONCATENATE("R9C",'Mapa final'!$O$39),"")</f>
        <v/>
      </c>
      <c r="R24" s="69" t="str">
        <f>IF(AND('Mapa final'!$Y$40="Alta",'Mapa final'!$AA$40="Menor"),CONCATENATE("R9C",'Mapa final'!$O$40),"")</f>
        <v/>
      </c>
      <c r="S24" s="69" t="str">
        <f>IF(AND('Mapa final'!$Y$41="Alta",'Mapa final'!$AA$41="Menor"),CONCATENATE("R9C",'Mapa final'!$O$41),"")</f>
        <v/>
      </c>
      <c r="T24" s="69" t="str">
        <f>IF(AND('Mapa final'!$Y$42="Alta",'Mapa final'!$AA$42="Menor"),CONCATENATE("R9C",'Mapa final'!$O$42),"")</f>
        <v/>
      </c>
      <c r="U24" s="70" t="str">
        <f>IF(AND('Mapa final'!$Y$43="Alta",'Mapa final'!$AA$43="Menor"),CONCATENATE("R9C",'Mapa final'!$O$43),"")</f>
        <v/>
      </c>
      <c r="V24" s="52" t="str">
        <f>IF(AND('Mapa final'!$Y$38="Alta",'Mapa final'!$AA$38="Moderado"),CONCATENATE("R9C",'Mapa final'!$O$38),"")</f>
        <v/>
      </c>
      <c r="W24" s="53" t="str">
        <f>IF(AND('Mapa final'!$Y$39="Alta",'Mapa final'!$AA$39="Moderado"),CONCATENATE("R9C",'Mapa final'!$O$39),"")</f>
        <v/>
      </c>
      <c r="X24" s="58" t="str">
        <f>IF(AND('Mapa final'!$Y$40="Alta",'Mapa final'!$AA$40="Moderado"),CONCATENATE("R9C",'Mapa final'!$O$40),"")</f>
        <v/>
      </c>
      <c r="Y24" s="58" t="str">
        <f>IF(AND('Mapa final'!$Y$41="Alta",'Mapa final'!$AA$41="Moderado"),CONCATENATE("R9C",'Mapa final'!$O$41),"")</f>
        <v/>
      </c>
      <c r="Z24" s="58" t="str">
        <f>IF(AND('Mapa final'!$Y$42="Alta",'Mapa final'!$AA$42="Moderado"),CONCATENATE("R9C",'Mapa final'!$O$42),"")</f>
        <v/>
      </c>
      <c r="AA24" s="54" t="str">
        <f>IF(AND('Mapa final'!$Y$43="Alta",'Mapa final'!$AA$43="Moderado"),CONCATENATE("R9C",'Mapa final'!$O$43),"")</f>
        <v/>
      </c>
      <c r="AB24" s="52" t="str">
        <f>IF(AND('Mapa final'!$Y$38="Alta",'Mapa final'!$AA$38="Mayor"),CONCATENATE("R9C",'Mapa final'!$O$38),"")</f>
        <v/>
      </c>
      <c r="AC24" s="53" t="str">
        <f>IF(AND('Mapa final'!$Y$39="Alta",'Mapa final'!$AA$39="Mayor"),CONCATENATE("R9C",'Mapa final'!$O$39),"")</f>
        <v/>
      </c>
      <c r="AD24" s="58" t="str">
        <f>IF(AND('Mapa final'!$Y$40="Alta",'Mapa final'!$AA$40="Mayor"),CONCATENATE("R9C",'Mapa final'!$O$40),"")</f>
        <v/>
      </c>
      <c r="AE24" s="58" t="str">
        <f>IF(AND('Mapa final'!$Y$41="Alta",'Mapa final'!$AA$41="Mayor"),CONCATENATE("R9C",'Mapa final'!$O$41),"")</f>
        <v/>
      </c>
      <c r="AF24" s="58" t="str">
        <f>IF(AND('Mapa final'!$Y$42="Alta",'Mapa final'!$AA$42="Mayor"),CONCATENATE("R9C",'Mapa final'!$O$42),"")</f>
        <v/>
      </c>
      <c r="AG24" s="54" t="str">
        <f>IF(AND('Mapa final'!$Y$43="Alta",'Mapa final'!$AA$43="Mayor"),CONCATENATE("R9C",'Mapa final'!$O$43),"")</f>
        <v/>
      </c>
      <c r="AH24" s="55" t="str">
        <f>IF(AND('Mapa final'!$Y$38="Alta",'Mapa final'!$AA$38="Catastrófico"),CONCATENATE("R9C",'Mapa final'!$O$38),"")</f>
        <v/>
      </c>
      <c r="AI24" s="56" t="str">
        <f>IF(AND('Mapa final'!$Y$39="Alta",'Mapa final'!$AA$39="Catastrófico"),CONCATENATE("R9C",'Mapa final'!$O$39),"")</f>
        <v/>
      </c>
      <c r="AJ24" s="56" t="str">
        <f>IF(AND('Mapa final'!$Y$40="Alta",'Mapa final'!$AA$40="Catastrófico"),CONCATENATE("R9C",'Mapa final'!$O$40),"")</f>
        <v/>
      </c>
      <c r="AK24" s="56" t="str">
        <f>IF(AND('Mapa final'!$Y$41="Alta",'Mapa final'!$AA$41="Catastrófico"),CONCATENATE("R9C",'Mapa final'!$O$41),"")</f>
        <v/>
      </c>
      <c r="AL24" s="56" t="str">
        <f>IF(AND('Mapa final'!$Y$42="Alta",'Mapa final'!$AA$42="Catastrófico"),CONCATENATE("R9C",'Mapa final'!$O$42),"")</f>
        <v/>
      </c>
      <c r="AM24" s="57" t="str">
        <f>IF(AND('Mapa final'!$Y$43="Alta",'Mapa final'!$AA$43="Catastrófico"),CONCATENATE("R9C",'Mapa final'!$O$43),"")</f>
        <v/>
      </c>
      <c r="AN24" s="84"/>
      <c r="AO24" s="367"/>
      <c r="AP24" s="368"/>
      <c r="AQ24" s="368"/>
      <c r="AR24" s="368"/>
      <c r="AS24" s="368"/>
      <c r="AT24" s="369"/>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5">
      <c r="A25" s="84"/>
      <c r="B25" s="276"/>
      <c r="C25" s="276"/>
      <c r="D25" s="277"/>
      <c r="E25" s="379"/>
      <c r="F25" s="380"/>
      <c r="G25" s="380"/>
      <c r="H25" s="380"/>
      <c r="I25" s="380"/>
      <c r="J25" s="71" t="str">
        <f>IF(AND('Mapa final'!$Y$44="Alta",'Mapa final'!$AA$44="Leve"),CONCATENATE("R10C",'Mapa final'!$O$44),"")</f>
        <v/>
      </c>
      <c r="K25" s="72" t="str">
        <f>IF(AND('Mapa final'!$Y$45="Alta",'Mapa final'!$AA$45="Leve"),CONCATENATE("R10C",'Mapa final'!$O$45),"")</f>
        <v/>
      </c>
      <c r="L25" s="72" t="str">
        <f>IF(AND('Mapa final'!$Y$46="Alta",'Mapa final'!$AA$46="Leve"),CONCATENATE("R10C",'Mapa final'!$O$46),"")</f>
        <v/>
      </c>
      <c r="M25" s="72" t="str">
        <f>IF(AND('Mapa final'!$Y$47="Alta",'Mapa final'!$AA$47="Leve"),CONCATENATE("R10C",'Mapa final'!$O$47),"")</f>
        <v/>
      </c>
      <c r="N25" s="72" t="str">
        <f>IF(AND('Mapa final'!$Y$48="Alta",'Mapa final'!$AA$48="Leve"),CONCATENATE("R10C",'Mapa final'!$O$48),"")</f>
        <v/>
      </c>
      <c r="O25" s="73" t="str">
        <f>IF(AND('Mapa final'!$Y$49="Alta",'Mapa final'!$AA$49="Leve"),CONCATENATE("R10C",'Mapa final'!$O$49),"")</f>
        <v/>
      </c>
      <c r="P25" s="71" t="str">
        <f>IF(AND('Mapa final'!$Y$44="Alta",'Mapa final'!$AA$44="Menor"),CONCATENATE("R10C",'Mapa final'!$O$44),"")</f>
        <v/>
      </c>
      <c r="Q25" s="72" t="str">
        <f>IF(AND('Mapa final'!$Y$45="Alta",'Mapa final'!$AA$45="Menor"),CONCATENATE("R10C",'Mapa final'!$O$45),"")</f>
        <v/>
      </c>
      <c r="R25" s="72" t="str">
        <f>IF(AND('Mapa final'!$Y$46="Alta",'Mapa final'!$AA$46="Menor"),CONCATENATE("R10C",'Mapa final'!$O$46),"")</f>
        <v/>
      </c>
      <c r="S25" s="72" t="str">
        <f>IF(AND('Mapa final'!$Y$47="Alta",'Mapa final'!$AA$47="Menor"),CONCATENATE("R10C",'Mapa final'!$O$47),"")</f>
        <v/>
      </c>
      <c r="T25" s="72" t="str">
        <f>IF(AND('Mapa final'!$Y$48="Alta",'Mapa final'!$AA$48="Menor"),CONCATENATE("R10C",'Mapa final'!$O$48),"")</f>
        <v/>
      </c>
      <c r="U25" s="73" t="str">
        <f>IF(AND('Mapa final'!$Y$49="Alta",'Mapa final'!$AA$49="Menor"),CONCATENATE("R10C",'Mapa final'!$O$49),"")</f>
        <v/>
      </c>
      <c r="V25" s="59" t="str">
        <f>IF(AND('Mapa final'!$Y$44="Alta",'Mapa final'!$AA$44="Moderado"),CONCATENATE("R10C",'Mapa final'!$O$44),"")</f>
        <v/>
      </c>
      <c r="W25" s="60" t="str">
        <f>IF(AND('Mapa final'!$Y$45="Alta",'Mapa final'!$AA$45="Moderado"),CONCATENATE("R10C",'Mapa final'!$O$45),"")</f>
        <v/>
      </c>
      <c r="X25" s="60" t="str">
        <f>IF(AND('Mapa final'!$Y$46="Alta",'Mapa final'!$AA$46="Moderado"),CONCATENATE("R10C",'Mapa final'!$O$46),"")</f>
        <v/>
      </c>
      <c r="Y25" s="60" t="str">
        <f>IF(AND('Mapa final'!$Y$47="Alta",'Mapa final'!$AA$47="Moderado"),CONCATENATE("R10C",'Mapa final'!$O$47),"")</f>
        <v/>
      </c>
      <c r="Z25" s="60" t="str">
        <f>IF(AND('Mapa final'!$Y$48="Alta",'Mapa final'!$AA$48="Moderado"),CONCATENATE("R10C",'Mapa final'!$O$48),"")</f>
        <v/>
      </c>
      <c r="AA25" s="61" t="str">
        <f>IF(AND('Mapa final'!$Y$49="Alta",'Mapa final'!$AA$49="Moderado"),CONCATENATE("R10C",'Mapa final'!$O$49),"")</f>
        <v/>
      </c>
      <c r="AB25" s="59" t="str">
        <f>IF(AND('Mapa final'!$Y$44="Alta",'Mapa final'!$AA$44="Mayor"),CONCATENATE("R10C",'Mapa final'!$O$44),"")</f>
        <v/>
      </c>
      <c r="AC25" s="60" t="str">
        <f>IF(AND('Mapa final'!$Y$45="Alta",'Mapa final'!$AA$45="Mayor"),CONCATENATE("R10C",'Mapa final'!$O$45),"")</f>
        <v/>
      </c>
      <c r="AD25" s="60" t="str">
        <f>IF(AND('Mapa final'!$Y$46="Alta",'Mapa final'!$AA$46="Mayor"),CONCATENATE("R10C",'Mapa final'!$O$46),"")</f>
        <v/>
      </c>
      <c r="AE25" s="60" t="str">
        <f>IF(AND('Mapa final'!$Y$47="Alta",'Mapa final'!$AA$47="Mayor"),CONCATENATE("R10C",'Mapa final'!$O$47),"")</f>
        <v/>
      </c>
      <c r="AF25" s="60" t="str">
        <f>IF(AND('Mapa final'!$Y$48="Alta",'Mapa final'!$AA$48="Mayor"),CONCATENATE("R10C",'Mapa final'!$O$48),"")</f>
        <v/>
      </c>
      <c r="AG25" s="61" t="str">
        <f>IF(AND('Mapa final'!$Y$49="Alta",'Mapa final'!$AA$49="Mayor"),CONCATENATE("R10C",'Mapa final'!$O$49),"")</f>
        <v/>
      </c>
      <c r="AH25" s="62" t="str">
        <f>IF(AND('Mapa final'!$Y$44="Alta",'Mapa final'!$AA$44="Catastrófico"),CONCATENATE("R10C",'Mapa final'!$O$44),"")</f>
        <v/>
      </c>
      <c r="AI25" s="63" t="str">
        <f>IF(AND('Mapa final'!$Y$45="Alta",'Mapa final'!$AA$45="Catastrófico"),CONCATENATE("R10C",'Mapa final'!$O$45),"")</f>
        <v/>
      </c>
      <c r="AJ25" s="63" t="str">
        <f>IF(AND('Mapa final'!$Y$46="Alta",'Mapa final'!$AA$46="Catastrófico"),CONCATENATE("R10C",'Mapa final'!$O$46),"")</f>
        <v/>
      </c>
      <c r="AK25" s="63" t="str">
        <f>IF(AND('Mapa final'!$Y$47="Alta",'Mapa final'!$AA$47="Catastrófico"),CONCATENATE("R10C",'Mapa final'!$O$47),"")</f>
        <v/>
      </c>
      <c r="AL25" s="63" t="str">
        <f>IF(AND('Mapa final'!$Y$48="Alta",'Mapa final'!$AA$48="Catastrófico"),CONCATENATE("R10C",'Mapa final'!$O$48),"")</f>
        <v/>
      </c>
      <c r="AM25" s="64" t="str">
        <f>IF(AND('Mapa final'!$Y$49="Alta",'Mapa final'!$AA$49="Catastrófico"),CONCATENATE("R10C",'Mapa final'!$O$49),"")</f>
        <v/>
      </c>
      <c r="AN25" s="84"/>
      <c r="AO25" s="370"/>
      <c r="AP25" s="371"/>
      <c r="AQ25" s="371"/>
      <c r="AR25" s="371"/>
      <c r="AS25" s="371"/>
      <c r="AT25" s="372"/>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45">
      <c r="A26" s="84"/>
      <c r="B26" s="276"/>
      <c r="C26" s="276"/>
      <c r="D26" s="277"/>
      <c r="E26" s="373" t="s">
        <v>117</v>
      </c>
      <c r="F26" s="374"/>
      <c r="G26" s="374"/>
      <c r="H26" s="374"/>
      <c r="I26" s="392"/>
      <c r="J26" s="65" t="str">
        <f>IF(AND('Mapa final'!$Y$10="Media",'Mapa final'!$AA$10="Leve"),CONCATENATE("R1C",'Mapa final'!$O$10),"")</f>
        <v/>
      </c>
      <c r="K26" s="66" t="e">
        <f>IF(AND('Mapa final'!#REF!="Media",'Mapa final'!#REF!="Leve"),CONCATENATE("R1C",'Mapa final'!#REF!),"")</f>
        <v>#REF!</v>
      </c>
      <c r="L26" s="66" t="e">
        <f>IF(AND('Mapa final'!#REF!="Media",'Mapa final'!#REF!="Leve"),CONCATENATE("R1C",'Mapa final'!#REF!),"")</f>
        <v>#REF!</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IF(AND('Mapa final'!$Y$10="Media",'Mapa final'!$AA$10="Menor"),CONCATENATE("R1C",'Mapa final'!$O$10),"")</f>
        <v/>
      </c>
      <c r="Q26" s="66" t="e">
        <f>IF(AND('Mapa final'!#REF!="Media",'Mapa final'!#REF!="Menor"),CONCATENATE("R1C",'Mapa final'!#REF!),"")</f>
        <v>#REF!</v>
      </c>
      <c r="R26" s="66" t="e">
        <f>IF(AND('Mapa final'!#REF!="Media",'Mapa final'!#REF!="Menor"),CONCATENATE("R1C",'Mapa final'!#REF!),"")</f>
        <v>#REF!</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IF(AND('Mapa final'!$Y$10="Media",'Mapa final'!$AA$10="Moderado"),CONCATENATE("R1C",'Mapa final'!$O$10),"")</f>
        <v/>
      </c>
      <c r="W26" s="66" t="e">
        <f>IF(AND('Mapa final'!#REF!="Media",'Mapa final'!#REF!="Moderado"),CONCATENATE("R1C",'Mapa final'!#REF!),"")</f>
        <v>#REF!</v>
      </c>
      <c r="X26" s="66" t="e">
        <f>IF(AND('Mapa final'!#REF!="Media",'Mapa final'!#REF!="Moderado"),CONCATENATE("R1C",'Mapa final'!#REF!),"")</f>
        <v>#REF!</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404" t="s">
        <v>81</v>
      </c>
      <c r="AP26" s="405"/>
      <c r="AQ26" s="405"/>
      <c r="AR26" s="405"/>
      <c r="AS26" s="405"/>
      <c r="AT26" s="406"/>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45">
      <c r="A27" s="84"/>
      <c r="B27" s="276"/>
      <c r="C27" s="276"/>
      <c r="D27" s="277"/>
      <c r="E27" s="375"/>
      <c r="F27" s="376"/>
      <c r="G27" s="376"/>
      <c r="H27" s="376"/>
      <c r="I27" s="393"/>
      <c r="J27" s="68" t="str">
        <f>IF(AND('Mapa final'!$Y$11="Media",'Mapa final'!$AA$11="Leve"),CONCATENATE("R2C",'Mapa final'!$O$11),"")</f>
        <v/>
      </c>
      <c r="K27" s="69" t="e">
        <f>IF(AND('Mapa final'!#REF!="Media",'Mapa final'!#REF!="Leve"),CONCATENATE("R2C",'Mapa final'!#REF!),"")</f>
        <v>#REF!</v>
      </c>
      <c r="L27" s="69" t="e">
        <f>IF(AND('Mapa final'!#REF!="Media",'Mapa final'!#REF!="Leve"),CONCATENATE("R2C",'Mapa final'!#REF!),"")</f>
        <v>#REF!</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str">
        <f>IF(AND('Mapa final'!$Y$11="Media",'Mapa final'!$AA$11="Menor"),CONCATENATE("R2C",'Mapa final'!$O$11),"")</f>
        <v/>
      </c>
      <c r="Q27" s="69" t="e">
        <f>IF(AND('Mapa final'!#REF!="Media",'Mapa final'!#REF!="Menor"),CONCATENATE("R2C",'Mapa final'!#REF!),"")</f>
        <v>#REF!</v>
      </c>
      <c r="R27" s="69" t="e">
        <f>IF(AND('Mapa final'!#REF!="Media",'Mapa final'!#REF!="Menor"),CONCATENATE("R2C",'Mapa final'!#REF!),"")</f>
        <v>#REF!</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str">
        <f>IF(AND('Mapa final'!$Y$11="Media",'Mapa final'!$AA$11="Moderado"),CONCATENATE("R2C",'Mapa final'!$O$11),"")</f>
        <v>R2C1</v>
      </c>
      <c r="W27" s="69" t="e">
        <f>IF(AND('Mapa final'!#REF!="Media",'Mapa final'!#REF!="Moderado"),CONCATENATE("R2C",'Mapa final'!#REF!),"")</f>
        <v>#REF!</v>
      </c>
      <c r="X27" s="69" t="e">
        <f>IF(AND('Mapa final'!#REF!="Media",'Mapa final'!#REF!="Moderado"),CONCATENATE("R2C",'Mapa final'!#REF!),"")</f>
        <v>#REF!</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str">
        <f>IF(AND('Mapa final'!$Y$11="Media",'Mapa final'!$AA$11="Mayor"),CONCATENATE("R2C",'Mapa final'!$O$11),"")</f>
        <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407"/>
      <c r="AP27" s="408"/>
      <c r="AQ27" s="408"/>
      <c r="AR27" s="408"/>
      <c r="AS27" s="408"/>
      <c r="AT27" s="409"/>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45">
      <c r="A28" s="84"/>
      <c r="B28" s="276"/>
      <c r="C28" s="276"/>
      <c r="D28" s="277"/>
      <c r="E28" s="377"/>
      <c r="F28" s="378"/>
      <c r="G28" s="378"/>
      <c r="H28" s="378"/>
      <c r="I28" s="393"/>
      <c r="J28" s="68" t="e">
        <f>IF(AND('Mapa final'!#REF!="Media",'Mapa final'!#REF!="Leve"),CONCATENATE("R3C",'Mapa final'!#REF!),"")</f>
        <v>#REF!</v>
      </c>
      <c r="K28" s="69" t="str">
        <f>IF(AND('Mapa final'!$Y$12="Media",'Mapa final'!$AA$12="Leve"),CONCATENATE("R3C",'Mapa final'!$O$12),"")</f>
        <v/>
      </c>
      <c r="L28" s="69" t="e">
        <f>IF(AND('Mapa final'!#REF!="Media",'Mapa final'!#REF!="Leve"),CONCATENATE("R3C",'Mapa final'!#REF!),"")</f>
        <v>#REF!</v>
      </c>
      <c r="M28" s="69" t="e">
        <f>IF(AND('Mapa final'!#REF!="Media",'Mapa final'!#REF!="Leve"),CONCATENATE("R3C",'Mapa final'!#REF!),"")</f>
        <v>#REF!</v>
      </c>
      <c r="N28" s="69" t="e">
        <f>IF(AND('Mapa final'!#REF!="Media",'Mapa final'!#REF!="Leve"),CONCATENATE("R3C",'Mapa final'!#REF!),"")</f>
        <v>#REF!</v>
      </c>
      <c r="O28" s="70" t="e">
        <f>IF(AND('Mapa final'!#REF!="Media",'Mapa final'!#REF!="Leve"),CONCATENATE("R3C",'Mapa final'!#REF!),"")</f>
        <v>#REF!</v>
      </c>
      <c r="P28" s="68" t="e">
        <f>IF(AND('Mapa final'!#REF!="Media",'Mapa final'!#REF!="Menor"),CONCATENATE("R3C",'Mapa final'!#REF!),"")</f>
        <v>#REF!</v>
      </c>
      <c r="Q28" s="69" t="str">
        <f>IF(AND('Mapa final'!$Y$12="Media",'Mapa final'!$AA$12="Menor"),CONCATENATE("R3C",'Mapa final'!$O$12),"")</f>
        <v/>
      </c>
      <c r="R28" s="69" t="e">
        <f>IF(AND('Mapa final'!#REF!="Media",'Mapa final'!#REF!="Menor"),CONCATENATE("R3C",'Mapa final'!#REF!),"")</f>
        <v>#REF!</v>
      </c>
      <c r="S28" s="69" t="e">
        <f>IF(AND('Mapa final'!#REF!="Media",'Mapa final'!#REF!="Menor"),CONCATENATE("R3C",'Mapa final'!#REF!),"")</f>
        <v>#REF!</v>
      </c>
      <c r="T28" s="69" t="e">
        <f>IF(AND('Mapa final'!#REF!="Media",'Mapa final'!#REF!="Menor"),CONCATENATE("R3C",'Mapa final'!#REF!),"")</f>
        <v>#REF!</v>
      </c>
      <c r="U28" s="70" t="e">
        <f>IF(AND('Mapa final'!#REF!="Media",'Mapa final'!#REF!="Menor"),CONCATENATE("R3C",'Mapa final'!#REF!),"")</f>
        <v>#REF!</v>
      </c>
      <c r="V28" s="68" t="e">
        <f>IF(AND('Mapa final'!#REF!="Media",'Mapa final'!#REF!="Moderado"),CONCATENATE("R3C",'Mapa final'!#REF!),"")</f>
        <v>#REF!</v>
      </c>
      <c r="W28" s="69" t="str">
        <f>IF(AND('Mapa final'!$Y$12="Media",'Mapa final'!$AA$12="Moderado"),CONCATENATE("R3C",'Mapa final'!$O$12),"")</f>
        <v/>
      </c>
      <c r="X28" s="69" t="e">
        <f>IF(AND('Mapa final'!#REF!="Media",'Mapa final'!#REF!="Moderado"),CONCATENATE("R3C",'Mapa final'!#REF!),"")</f>
        <v>#REF!</v>
      </c>
      <c r="Y28" s="69" t="e">
        <f>IF(AND('Mapa final'!#REF!="Media",'Mapa final'!#REF!="Moderado"),CONCATENATE("R3C",'Mapa final'!#REF!),"")</f>
        <v>#REF!</v>
      </c>
      <c r="Z28" s="69" t="e">
        <f>IF(AND('Mapa final'!#REF!="Media",'Mapa final'!#REF!="Moderado"),CONCATENATE("R3C",'Mapa final'!#REF!),"")</f>
        <v>#REF!</v>
      </c>
      <c r="AA28" s="70" t="e">
        <f>IF(AND('Mapa final'!#REF!="Media",'Mapa final'!#REF!="Moderado"),CONCATENATE("R3C",'Mapa final'!#REF!),"")</f>
        <v>#REF!</v>
      </c>
      <c r="AB28" s="52" t="e">
        <f>IF(AND('Mapa final'!#REF!="Media",'Mapa final'!#REF!="Mayor"),CONCATENATE("R3C",'Mapa final'!#REF!),"")</f>
        <v>#REF!</v>
      </c>
      <c r="AC28" s="53" t="str">
        <f>IF(AND('Mapa final'!$Y$12="Media",'Mapa final'!$AA$12="Mayor"),CONCATENATE("R3C",'Mapa final'!$O$12),"")</f>
        <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e">
        <f>IF(AND('Mapa final'!#REF!="Media",'Mapa final'!#REF!="Catastrófico"),CONCATENATE("R3C",'Mapa final'!#REF!),"")</f>
        <v>#REF!</v>
      </c>
      <c r="AI28" s="56" t="str">
        <f>IF(AND('Mapa final'!$Y$12="Media",'Mapa final'!$AA$12="Catastrófico"),CONCATENATE("R3C",'Mapa final'!$O$12),"")</f>
        <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4"/>
      <c r="AO28" s="407"/>
      <c r="AP28" s="408"/>
      <c r="AQ28" s="408"/>
      <c r="AR28" s="408"/>
      <c r="AS28" s="408"/>
      <c r="AT28" s="409"/>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45">
      <c r="A29" s="84"/>
      <c r="B29" s="276"/>
      <c r="C29" s="276"/>
      <c r="D29" s="277"/>
      <c r="E29" s="377"/>
      <c r="F29" s="378"/>
      <c r="G29" s="378"/>
      <c r="H29" s="378"/>
      <c r="I29" s="393"/>
      <c r="J29" s="68" t="str">
        <f>IF(AND('Mapa final'!$Y$13="Media",'Mapa final'!$AA$13="Leve"),CONCATENATE("R4C",'Mapa final'!$O$13),"")</f>
        <v/>
      </c>
      <c r="K29" s="69" t="e">
        <f>IF(AND('Mapa final'!#REF!="Media",'Mapa final'!#REF!="Leve"),CONCATENATE("R4C",'Mapa final'!#REF!),"")</f>
        <v>#REF!</v>
      </c>
      <c r="L29" s="69" t="e">
        <f>IF(AND('Mapa final'!#REF!="Media",'Mapa final'!#REF!="Leve"),CONCATENATE("R4C",'Mapa final'!#REF!),"")</f>
        <v>#REF!</v>
      </c>
      <c r="M29" s="69" t="e">
        <f>IF(AND('Mapa final'!#REF!="Media",'Mapa final'!#REF!="Leve"),CONCATENATE("R4C",'Mapa final'!#REF!),"")</f>
        <v>#REF!</v>
      </c>
      <c r="N29" s="69" t="e">
        <f>IF(AND('Mapa final'!#REF!="Media",'Mapa final'!#REF!="Leve"),CONCATENATE("R4C",'Mapa final'!#REF!),"")</f>
        <v>#REF!</v>
      </c>
      <c r="O29" s="70" t="e">
        <f>IF(AND('Mapa final'!#REF!="Media",'Mapa final'!#REF!="Leve"),CONCATENATE("R4C",'Mapa final'!#REF!),"")</f>
        <v>#REF!</v>
      </c>
      <c r="P29" s="68" t="str">
        <f>IF(AND('Mapa final'!$Y$13="Media",'Mapa final'!$AA$13="Menor"),CONCATENATE("R4C",'Mapa final'!$O$13),"")</f>
        <v/>
      </c>
      <c r="Q29" s="69" t="e">
        <f>IF(AND('Mapa final'!#REF!="Media",'Mapa final'!#REF!="Menor"),CONCATENATE("R4C",'Mapa final'!#REF!),"")</f>
        <v>#REF!</v>
      </c>
      <c r="R29" s="69" t="e">
        <f>IF(AND('Mapa final'!#REF!="Media",'Mapa final'!#REF!="Menor"),CONCATENATE("R4C",'Mapa final'!#REF!),"")</f>
        <v>#REF!</v>
      </c>
      <c r="S29" s="69" t="e">
        <f>IF(AND('Mapa final'!#REF!="Media",'Mapa final'!#REF!="Menor"),CONCATENATE("R4C",'Mapa final'!#REF!),"")</f>
        <v>#REF!</v>
      </c>
      <c r="T29" s="69" t="e">
        <f>IF(AND('Mapa final'!#REF!="Media",'Mapa final'!#REF!="Menor"),CONCATENATE("R4C",'Mapa final'!#REF!),"")</f>
        <v>#REF!</v>
      </c>
      <c r="U29" s="70" t="e">
        <f>IF(AND('Mapa final'!#REF!="Media",'Mapa final'!#REF!="Menor"),CONCATENATE("R4C",'Mapa final'!#REF!),"")</f>
        <v>#REF!</v>
      </c>
      <c r="V29" s="68" t="str">
        <f>IF(AND('Mapa final'!$Y$13="Media",'Mapa final'!$AA$13="Moderado"),CONCATENATE("R4C",'Mapa final'!$O$13),"")</f>
        <v/>
      </c>
      <c r="W29" s="69" t="e">
        <f>IF(AND('Mapa final'!#REF!="Media",'Mapa final'!#REF!="Moderado"),CONCATENATE("R4C",'Mapa final'!#REF!),"")</f>
        <v>#REF!</v>
      </c>
      <c r="X29" s="69" t="e">
        <f>IF(AND('Mapa final'!#REF!="Media",'Mapa final'!#REF!="Moderado"),CONCATENATE("R4C",'Mapa final'!#REF!),"")</f>
        <v>#REF!</v>
      </c>
      <c r="Y29" s="69" t="e">
        <f>IF(AND('Mapa final'!#REF!="Media",'Mapa final'!#REF!="Moderado"),CONCATENATE("R4C",'Mapa final'!#REF!),"")</f>
        <v>#REF!</v>
      </c>
      <c r="Z29" s="69" t="e">
        <f>IF(AND('Mapa final'!#REF!="Media",'Mapa final'!#REF!="Moderado"),CONCATENATE("R4C",'Mapa final'!#REF!),"")</f>
        <v>#REF!</v>
      </c>
      <c r="AA29" s="70" t="e">
        <f>IF(AND('Mapa final'!#REF!="Media",'Mapa final'!#REF!="Moderado"),CONCATENATE("R4C",'Mapa final'!#REF!),"")</f>
        <v>#REF!</v>
      </c>
      <c r="AB29" s="52" t="str">
        <f>IF(AND('Mapa final'!$Y$13="Media",'Mapa final'!$AA$13="Mayor"),CONCATENATE("R4C",'Mapa final'!$O$13),"")</f>
        <v>R4C1</v>
      </c>
      <c r="AC29" s="53" t="e">
        <f>IF(AND('Mapa final'!#REF!="Media",'Mapa final'!#REF!="Mayor"),CONCATENATE("R4C",'Mapa final'!#REF!),"")</f>
        <v>#REF!</v>
      </c>
      <c r="AD29" s="58" t="e">
        <f>IF(AND('Mapa final'!#REF!="Media",'Mapa final'!#REF!="Mayor"),CONCATENATE("R4C",'Mapa final'!#REF!),"")</f>
        <v>#REF!</v>
      </c>
      <c r="AE29" s="58" t="e">
        <f>IF(AND('Mapa final'!#REF!="Media",'Mapa final'!#REF!="Mayor"),CONCATENATE("R4C",'Mapa final'!#REF!),"")</f>
        <v>#REF!</v>
      </c>
      <c r="AF29" s="58" t="e">
        <f>IF(AND('Mapa final'!#REF!="Media",'Mapa final'!#REF!="Mayor"),CONCATENATE("R4C",'Mapa final'!#REF!),"")</f>
        <v>#REF!</v>
      </c>
      <c r="AG29" s="54" t="e">
        <f>IF(AND('Mapa final'!#REF!="Media",'Mapa final'!#REF!="Mayor"),CONCATENATE("R4C",'Mapa final'!#REF!),"")</f>
        <v>#REF!</v>
      </c>
      <c r="AH29" s="55" t="str">
        <f>IF(AND('Mapa final'!$Y$13="Media",'Mapa final'!$AA$13="Catastrófico"),CONCATENATE("R4C",'Mapa final'!$O$13),"")</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4"/>
      <c r="AO29" s="407"/>
      <c r="AP29" s="408"/>
      <c r="AQ29" s="408"/>
      <c r="AR29" s="408"/>
      <c r="AS29" s="408"/>
      <c r="AT29" s="409"/>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45">
      <c r="A30" s="84"/>
      <c r="B30" s="276"/>
      <c r="C30" s="276"/>
      <c r="D30" s="277"/>
      <c r="E30" s="377"/>
      <c r="F30" s="378"/>
      <c r="G30" s="378"/>
      <c r="H30" s="378"/>
      <c r="I30" s="393"/>
      <c r="J30" s="68" t="str">
        <f>IF(AND('Mapa final'!$Y$14="Media",'Mapa final'!$AA$14="Leve"),CONCATENATE("R5C",'Mapa final'!$O$14),"")</f>
        <v/>
      </c>
      <c r="K30" s="69" t="str">
        <f>IF(AND('Mapa final'!$Y$15="Media",'Mapa final'!$AA$15="Leve"),CONCATENATE("R5C",'Mapa final'!$O$15),"")</f>
        <v/>
      </c>
      <c r="L30" s="69" t="str">
        <f>IF(AND('Mapa final'!$Y$16="Media",'Mapa final'!$AA$16="Leve"),CONCATENATE("R5C",'Mapa final'!$O$16),"")</f>
        <v/>
      </c>
      <c r="M30" s="69" t="str">
        <f>IF(AND('Mapa final'!$Y$17="Media",'Mapa final'!$AA$17="Leve"),CONCATENATE("R5C",'Mapa final'!$O$17),"")</f>
        <v/>
      </c>
      <c r="N30" s="69" t="str">
        <f>IF(AND('Mapa final'!$Y$18="Media",'Mapa final'!$AA$18="Leve"),CONCATENATE("R5C",'Mapa final'!$O$18),"")</f>
        <v/>
      </c>
      <c r="O30" s="70" t="str">
        <f>IF(AND('Mapa final'!$Y$19="Media",'Mapa final'!$AA$19="Leve"),CONCATENATE("R5C",'Mapa final'!$O$19),"")</f>
        <v/>
      </c>
      <c r="P30" s="68" t="str">
        <f>IF(AND('Mapa final'!$Y$14="Media",'Mapa final'!$AA$14="Menor"),CONCATENATE("R5C",'Mapa final'!$O$14),"")</f>
        <v/>
      </c>
      <c r="Q30" s="69" t="str">
        <f>IF(AND('Mapa final'!$Y$15="Media",'Mapa final'!$AA$15="Menor"),CONCATENATE("R5C",'Mapa final'!$O$15),"")</f>
        <v/>
      </c>
      <c r="R30" s="69" t="str">
        <f>IF(AND('Mapa final'!$Y$16="Media",'Mapa final'!$AA$16="Menor"),CONCATENATE("R5C",'Mapa final'!$O$16),"")</f>
        <v/>
      </c>
      <c r="S30" s="69" t="str">
        <f>IF(AND('Mapa final'!$Y$17="Media",'Mapa final'!$AA$17="Menor"),CONCATENATE("R5C",'Mapa final'!$O$17),"")</f>
        <v/>
      </c>
      <c r="T30" s="69" t="str">
        <f>IF(AND('Mapa final'!$Y$18="Media",'Mapa final'!$AA$18="Menor"),CONCATENATE("R5C",'Mapa final'!$O$18),"")</f>
        <v/>
      </c>
      <c r="U30" s="70" t="str">
        <f>IF(AND('Mapa final'!$Y$19="Media",'Mapa final'!$AA$19="Menor"),CONCATENATE("R5C",'Mapa final'!$O$19),"")</f>
        <v/>
      </c>
      <c r="V30" s="68" t="str">
        <f>IF(AND('Mapa final'!$Y$14="Media",'Mapa final'!$AA$14="Moderado"),CONCATENATE("R5C",'Mapa final'!$O$14),"")</f>
        <v/>
      </c>
      <c r="W30" s="69" t="str">
        <f>IF(AND('Mapa final'!$Y$15="Media",'Mapa final'!$AA$15="Moderado"),CONCATENATE("R5C",'Mapa final'!$O$15),"")</f>
        <v/>
      </c>
      <c r="X30" s="69" t="str">
        <f>IF(AND('Mapa final'!$Y$16="Media",'Mapa final'!$AA$16="Moderado"),CONCATENATE("R5C",'Mapa final'!$O$16),"")</f>
        <v/>
      </c>
      <c r="Y30" s="69" t="str">
        <f>IF(AND('Mapa final'!$Y$17="Media",'Mapa final'!$AA$17="Moderado"),CONCATENATE("R5C",'Mapa final'!$O$17),"")</f>
        <v/>
      </c>
      <c r="Z30" s="69" t="str">
        <f>IF(AND('Mapa final'!$Y$18="Media",'Mapa final'!$AA$18="Moderado"),CONCATENATE("R5C",'Mapa final'!$O$18),"")</f>
        <v/>
      </c>
      <c r="AA30" s="70" t="str">
        <f>IF(AND('Mapa final'!$Y$19="Media",'Mapa final'!$AA$19="Moderado"),CONCATENATE("R5C",'Mapa final'!$O$19),"")</f>
        <v/>
      </c>
      <c r="AB30" s="52" t="str">
        <f>IF(AND('Mapa final'!$Y$14="Media",'Mapa final'!$AA$14="Mayor"),CONCATENATE("R5C",'Mapa final'!$O$14),"")</f>
        <v/>
      </c>
      <c r="AC30" s="53" t="str">
        <f>IF(AND('Mapa final'!$Y$15="Media",'Mapa final'!$AA$15="Mayor"),CONCATENATE("R5C",'Mapa final'!$O$15),"")</f>
        <v/>
      </c>
      <c r="AD30" s="58" t="str">
        <f>IF(AND('Mapa final'!$Y$16="Media",'Mapa final'!$AA$16="Mayor"),CONCATENATE("R5C",'Mapa final'!$O$16),"")</f>
        <v/>
      </c>
      <c r="AE30" s="58" t="str">
        <f>IF(AND('Mapa final'!$Y$17="Media",'Mapa final'!$AA$17="Mayor"),CONCATENATE("R5C",'Mapa final'!$O$17),"")</f>
        <v/>
      </c>
      <c r="AF30" s="58" t="str">
        <f>IF(AND('Mapa final'!$Y$18="Media",'Mapa final'!$AA$18="Mayor"),CONCATENATE("R5C",'Mapa final'!$O$18),"")</f>
        <v/>
      </c>
      <c r="AG30" s="54" t="str">
        <f>IF(AND('Mapa final'!$Y$19="Media",'Mapa final'!$AA$19="Mayor"),CONCATENATE("R5C",'Mapa final'!$O$19),"")</f>
        <v/>
      </c>
      <c r="AH30" s="55" t="str">
        <f>IF(AND('Mapa final'!$Y$14="Media",'Mapa final'!$AA$14="Catastrófico"),CONCATENATE("R5C",'Mapa final'!$O$14),"")</f>
        <v/>
      </c>
      <c r="AI30" s="56" t="str">
        <f>IF(AND('Mapa final'!$Y$15="Media",'Mapa final'!$AA$15="Catastrófico"),CONCATENATE("R5C",'Mapa final'!$O$15),"")</f>
        <v/>
      </c>
      <c r="AJ30" s="56" t="str">
        <f>IF(AND('Mapa final'!$Y$16="Media",'Mapa final'!$AA$16="Catastrófico"),CONCATENATE("R5C",'Mapa final'!$O$16),"")</f>
        <v/>
      </c>
      <c r="AK30" s="56" t="str">
        <f>IF(AND('Mapa final'!$Y$17="Media",'Mapa final'!$AA$17="Catastrófico"),CONCATENATE("R5C",'Mapa final'!$O$17),"")</f>
        <v/>
      </c>
      <c r="AL30" s="56" t="str">
        <f>IF(AND('Mapa final'!$Y$18="Media",'Mapa final'!$AA$18="Catastrófico"),CONCATENATE("R5C",'Mapa final'!$O$18),"")</f>
        <v/>
      </c>
      <c r="AM30" s="57" t="str">
        <f>IF(AND('Mapa final'!$Y$19="Media",'Mapa final'!$AA$19="Catastrófico"),CONCATENATE("R5C",'Mapa final'!$O$19),"")</f>
        <v/>
      </c>
      <c r="AN30" s="84"/>
      <c r="AO30" s="407"/>
      <c r="AP30" s="408"/>
      <c r="AQ30" s="408"/>
      <c r="AR30" s="408"/>
      <c r="AS30" s="408"/>
      <c r="AT30" s="40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45">
      <c r="A31" s="84"/>
      <c r="B31" s="276"/>
      <c r="C31" s="276"/>
      <c r="D31" s="277"/>
      <c r="E31" s="377"/>
      <c r="F31" s="378"/>
      <c r="G31" s="378"/>
      <c r="H31" s="378"/>
      <c r="I31" s="393"/>
      <c r="J31" s="68" t="str">
        <f>IF(AND('Mapa final'!$Y$20="Media",'Mapa final'!$AA$20="Leve"),CONCATENATE("R6C",'Mapa final'!$O$20),"")</f>
        <v/>
      </c>
      <c r="K31" s="69" t="str">
        <f>IF(AND('Mapa final'!$Y$21="Media",'Mapa final'!$AA$21="Leve"),CONCATENATE("R6C",'Mapa final'!$O$21),"")</f>
        <v/>
      </c>
      <c r="L31" s="69" t="str">
        <f>IF(AND('Mapa final'!$Y$22="Media",'Mapa final'!$AA$22="Leve"),CONCATENATE("R6C",'Mapa final'!$O$22),"")</f>
        <v/>
      </c>
      <c r="M31" s="69" t="str">
        <f>IF(AND('Mapa final'!$Y$23="Media",'Mapa final'!$AA$23="Leve"),CONCATENATE("R6C",'Mapa final'!$O$23),"")</f>
        <v/>
      </c>
      <c r="N31" s="69" t="str">
        <f>IF(AND('Mapa final'!$Y$24="Media",'Mapa final'!$AA$24="Leve"),CONCATENATE("R6C",'Mapa final'!$O$24),"")</f>
        <v/>
      </c>
      <c r="O31" s="70" t="str">
        <f>IF(AND('Mapa final'!$Y$25="Media",'Mapa final'!$AA$25="Leve"),CONCATENATE("R6C",'Mapa final'!$O$25),"")</f>
        <v/>
      </c>
      <c r="P31" s="68" t="str">
        <f>IF(AND('Mapa final'!$Y$20="Media",'Mapa final'!$AA$20="Menor"),CONCATENATE("R6C",'Mapa final'!$O$20),"")</f>
        <v/>
      </c>
      <c r="Q31" s="69" t="str">
        <f>IF(AND('Mapa final'!$Y$21="Media",'Mapa final'!$AA$21="Menor"),CONCATENATE("R6C",'Mapa final'!$O$21),"")</f>
        <v/>
      </c>
      <c r="R31" s="69" t="str">
        <f>IF(AND('Mapa final'!$Y$22="Media",'Mapa final'!$AA$22="Menor"),CONCATENATE("R6C",'Mapa final'!$O$22),"")</f>
        <v/>
      </c>
      <c r="S31" s="69" t="str">
        <f>IF(AND('Mapa final'!$Y$23="Media",'Mapa final'!$AA$23="Menor"),CONCATENATE("R6C",'Mapa final'!$O$23),"")</f>
        <v/>
      </c>
      <c r="T31" s="69" t="str">
        <f>IF(AND('Mapa final'!$Y$24="Media",'Mapa final'!$AA$24="Menor"),CONCATENATE("R6C",'Mapa final'!$O$24),"")</f>
        <v/>
      </c>
      <c r="U31" s="70" t="str">
        <f>IF(AND('Mapa final'!$Y$25="Media",'Mapa final'!$AA$25="Menor"),CONCATENATE("R6C",'Mapa final'!$O$25),"")</f>
        <v/>
      </c>
      <c r="V31" s="68" t="str">
        <f>IF(AND('Mapa final'!$Y$20="Media",'Mapa final'!$AA$20="Moderado"),CONCATENATE("R6C",'Mapa final'!$O$20),"")</f>
        <v/>
      </c>
      <c r="W31" s="69" t="str">
        <f>IF(AND('Mapa final'!$Y$21="Media",'Mapa final'!$AA$21="Moderado"),CONCATENATE("R6C",'Mapa final'!$O$21),"")</f>
        <v/>
      </c>
      <c r="X31" s="69" t="str">
        <f>IF(AND('Mapa final'!$Y$22="Media",'Mapa final'!$AA$22="Moderado"),CONCATENATE("R6C",'Mapa final'!$O$22),"")</f>
        <v/>
      </c>
      <c r="Y31" s="69" t="str">
        <f>IF(AND('Mapa final'!$Y$23="Media",'Mapa final'!$AA$23="Moderado"),CONCATENATE("R6C",'Mapa final'!$O$23),"")</f>
        <v/>
      </c>
      <c r="Z31" s="69" t="str">
        <f>IF(AND('Mapa final'!$Y$24="Media",'Mapa final'!$AA$24="Moderado"),CONCATENATE("R6C",'Mapa final'!$O$24),"")</f>
        <v/>
      </c>
      <c r="AA31" s="70" t="str">
        <f>IF(AND('Mapa final'!$Y$25="Media",'Mapa final'!$AA$25="Moderado"),CONCATENATE("R6C",'Mapa final'!$O$25),"")</f>
        <v/>
      </c>
      <c r="AB31" s="52" t="str">
        <f>IF(AND('Mapa final'!$Y$20="Media",'Mapa final'!$AA$20="Mayor"),CONCATENATE("R6C",'Mapa final'!$O$20),"")</f>
        <v/>
      </c>
      <c r="AC31" s="53" t="str">
        <f>IF(AND('Mapa final'!$Y$21="Media",'Mapa final'!$AA$21="Mayor"),CONCATENATE("R6C",'Mapa final'!$O$21),"")</f>
        <v/>
      </c>
      <c r="AD31" s="58" t="str">
        <f>IF(AND('Mapa final'!$Y$22="Media",'Mapa final'!$AA$22="Mayor"),CONCATENATE("R6C",'Mapa final'!$O$22),"")</f>
        <v/>
      </c>
      <c r="AE31" s="58" t="str">
        <f>IF(AND('Mapa final'!$Y$23="Media",'Mapa final'!$AA$23="Mayor"),CONCATENATE("R6C",'Mapa final'!$O$23),"")</f>
        <v/>
      </c>
      <c r="AF31" s="58" t="str">
        <f>IF(AND('Mapa final'!$Y$24="Media",'Mapa final'!$AA$24="Mayor"),CONCATENATE("R6C",'Mapa final'!$O$24),"")</f>
        <v/>
      </c>
      <c r="AG31" s="54" t="str">
        <f>IF(AND('Mapa final'!$Y$25="Media",'Mapa final'!$AA$25="Mayor"),CONCATENATE("R6C",'Mapa final'!$O$25),"")</f>
        <v/>
      </c>
      <c r="AH31" s="55" t="str">
        <f>IF(AND('Mapa final'!$Y$20="Media",'Mapa final'!$AA$20="Catastrófico"),CONCATENATE("R6C",'Mapa final'!$O$20),"")</f>
        <v/>
      </c>
      <c r="AI31" s="56" t="str">
        <f>IF(AND('Mapa final'!$Y$21="Media",'Mapa final'!$AA$21="Catastrófico"),CONCATENATE("R6C",'Mapa final'!$O$21),"")</f>
        <v/>
      </c>
      <c r="AJ31" s="56" t="str">
        <f>IF(AND('Mapa final'!$Y$22="Media",'Mapa final'!$AA$22="Catastrófico"),CONCATENATE("R6C",'Mapa final'!$O$22),"")</f>
        <v/>
      </c>
      <c r="AK31" s="56" t="str">
        <f>IF(AND('Mapa final'!$Y$23="Media",'Mapa final'!$AA$23="Catastrófico"),CONCATENATE("R6C",'Mapa final'!$O$23),"")</f>
        <v/>
      </c>
      <c r="AL31" s="56" t="str">
        <f>IF(AND('Mapa final'!$Y$24="Media",'Mapa final'!$AA$24="Catastrófico"),CONCATENATE("R6C",'Mapa final'!$O$24),"")</f>
        <v/>
      </c>
      <c r="AM31" s="57" t="str">
        <f>IF(AND('Mapa final'!$Y$25="Media",'Mapa final'!$AA$25="Catastrófico"),CONCATENATE("R6C",'Mapa final'!$O$25),"")</f>
        <v/>
      </c>
      <c r="AN31" s="84"/>
      <c r="AO31" s="407"/>
      <c r="AP31" s="408"/>
      <c r="AQ31" s="408"/>
      <c r="AR31" s="408"/>
      <c r="AS31" s="408"/>
      <c r="AT31" s="40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45">
      <c r="A32" s="84"/>
      <c r="B32" s="276"/>
      <c r="C32" s="276"/>
      <c r="D32" s="277"/>
      <c r="E32" s="377"/>
      <c r="F32" s="378"/>
      <c r="G32" s="378"/>
      <c r="H32" s="378"/>
      <c r="I32" s="393"/>
      <c r="J32" s="68" t="str">
        <f>IF(AND('Mapa final'!$Y$26="Media",'Mapa final'!$AA$26="Leve"),CONCATENATE("R7C",'Mapa final'!$O$26),"")</f>
        <v/>
      </c>
      <c r="K32" s="69" t="str">
        <f>IF(AND('Mapa final'!$Y$27="Media",'Mapa final'!$AA$27="Leve"),CONCATENATE("R7C",'Mapa final'!$O$27),"")</f>
        <v/>
      </c>
      <c r="L32" s="69" t="str">
        <f>IF(AND('Mapa final'!$Y$28="Media",'Mapa final'!$AA$28="Leve"),CONCATENATE("R7C",'Mapa final'!$O$28),"")</f>
        <v/>
      </c>
      <c r="M32" s="69" t="str">
        <f>IF(AND('Mapa final'!$Y$29="Media",'Mapa final'!$AA$29="Leve"),CONCATENATE("R7C",'Mapa final'!$O$29),"")</f>
        <v/>
      </c>
      <c r="N32" s="69" t="str">
        <f>IF(AND('Mapa final'!$Y$30="Media",'Mapa final'!$AA$30="Leve"),CONCATENATE("R7C",'Mapa final'!$O$30),"")</f>
        <v/>
      </c>
      <c r="O32" s="70" t="str">
        <f>IF(AND('Mapa final'!$Y$31="Media",'Mapa final'!$AA$31="Leve"),CONCATENATE("R7C",'Mapa final'!$O$31),"")</f>
        <v/>
      </c>
      <c r="P32" s="68" t="str">
        <f>IF(AND('Mapa final'!$Y$26="Media",'Mapa final'!$AA$26="Menor"),CONCATENATE("R7C",'Mapa final'!$O$26),"")</f>
        <v/>
      </c>
      <c r="Q32" s="69" t="str">
        <f>IF(AND('Mapa final'!$Y$27="Media",'Mapa final'!$AA$27="Menor"),CONCATENATE("R7C",'Mapa final'!$O$27),"")</f>
        <v/>
      </c>
      <c r="R32" s="69" t="str">
        <f>IF(AND('Mapa final'!$Y$28="Media",'Mapa final'!$AA$28="Menor"),CONCATENATE("R7C",'Mapa final'!$O$28),"")</f>
        <v/>
      </c>
      <c r="S32" s="69" t="str">
        <f>IF(AND('Mapa final'!$Y$29="Media",'Mapa final'!$AA$29="Menor"),CONCATENATE("R7C",'Mapa final'!$O$29),"")</f>
        <v/>
      </c>
      <c r="T32" s="69" t="str">
        <f>IF(AND('Mapa final'!$Y$30="Media",'Mapa final'!$AA$30="Menor"),CONCATENATE("R7C",'Mapa final'!$O$30),"")</f>
        <v/>
      </c>
      <c r="U32" s="70" t="str">
        <f>IF(AND('Mapa final'!$Y$31="Media",'Mapa final'!$AA$31="Menor"),CONCATENATE("R7C",'Mapa final'!$O$31),"")</f>
        <v/>
      </c>
      <c r="V32" s="68" t="str">
        <f>IF(AND('Mapa final'!$Y$26="Media",'Mapa final'!$AA$26="Moderado"),CONCATENATE("R7C",'Mapa final'!$O$26),"")</f>
        <v/>
      </c>
      <c r="W32" s="69" t="str">
        <f>IF(AND('Mapa final'!$Y$27="Media",'Mapa final'!$AA$27="Moderado"),CONCATENATE("R7C",'Mapa final'!$O$27),"")</f>
        <v/>
      </c>
      <c r="X32" s="69" t="str">
        <f>IF(AND('Mapa final'!$Y$28="Media",'Mapa final'!$AA$28="Moderado"),CONCATENATE("R7C",'Mapa final'!$O$28),"")</f>
        <v/>
      </c>
      <c r="Y32" s="69" t="str">
        <f>IF(AND('Mapa final'!$Y$29="Media",'Mapa final'!$AA$29="Moderado"),CONCATENATE("R7C",'Mapa final'!$O$29),"")</f>
        <v/>
      </c>
      <c r="Z32" s="69" t="str">
        <f>IF(AND('Mapa final'!$Y$30="Media",'Mapa final'!$AA$30="Moderado"),CONCATENATE("R7C",'Mapa final'!$O$30),"")</f>
        <v/>
      </c>
      <c r="AA32" s="70" t="str">
        <f>IF(AND('Mapa final'!$Y$31="Media",'Mapa final'!$AA$31="Moderado"),CONCATENATE("R7C",'Mapa final'!$O$31),"")</f>
        <v/>
      </c>
      <c r="AB32" s="52" t="str">
        <f>IF(AND('Mapa final'!$Y$26="Media",'Mapa final'!$AA$26="Mayor"),CONCATENATE("R7C",'Mapa final'!$O$26),"")</f>
        <v/>
      </c>
      <c r="AC32" s="53" t="str">
        <f>IF(AND('Mapa final'!$Y$27="Media",'Mapa final'!$AA$27="Mayor"),CONCATENATE("R7C",'Mapa final'!$O$27),"")</f>
        <v/>
      </c>
      <c r="AD32" s="58" t="str">
        <f>IF(AND('Mapa final'!$Y$28="Media",'Mapa final'!$AA$28="Mayor"),CONCATENATE("R7C",'Mapa final'!$O$28),"")</f>
        <v/>
      </c>
      <c r="AE32" s="58" t="str">
        <f>IF(AND('Mapa final'!$Y$29="Media",'Mapa final'!$AA$29="Mayor"),CONCATENATE("R7C",'Mapa final'!$O$29),"")</f>
        <v/>
      </c>
      <c r="AF32" s="58" t="str">
        <f>IF(AND('Mapa final'!$Y$30="Media",'Mapa final'!$AA$30="Mayor"),CONCATENATE("R7C",'Mapa final'!$O$30),"")</f>
        <v/>
      </c>
      <c r="AG32" s="54" t="str">
        <f>IF(AND('Mapa final'!$Y$31="Media",'Mapa final'!$AA$31="Mayor"),CONCATENATE("R7C",'Mapa final'!$O$31),"")</f>
        <v/>
      </c>
      <c r="AH32" s="55" t="str">
        <f>IF(AND('Mapa final'!$Y$26="Media",'Mapa final'!$AA$26="Catastrófico"),CONCATENATE("R7C",'Mapa final'!$O$26),"")</f>
        <v/>
      </c>
      <c r="AI32" s="56" t="str">
        <f>IF(AND('Mapa final'!$Y$27="Media",'Mapa final'!$AA$27="Catastrófico"),CONCATENATE("R7C",'Mapa final'!$O$27),"")</f>
        <v/>
      </c>
      <c r="AJ32" s="56" t="str">
        <f>IF(AND('Mapa final'!$Y$28="Media",'Mapa final'!$AA$28="Catastrófico"),CONCATENATE("R7C",'Mapa final'!$O$28),"")</f>
        <v/>
      </c>
      <c r="AK32" s="56" t="str">
        <f>IF(AND('Mapa final'!$Y$29="Media",'Mapa final'!$AA$29="Catastrófico"),CONCATENATE("R7C",'Mapa final'!$O$29),"")</f>
        <v/>
      </c>
      <c r="AL32" s="56" t="str">
        <f>IF(AND('Mapa final'!$Y$30="Media",'Mapa final'!$AA$30="Catastrófico"),CONCATENATE("R7C",'Mapa final'!$O$30),"")</f>
        <v/>
      </c>
      <c r="AM32" s="57" t="str">
        <f>IF(AND('Mapa final'!$Y$31="Media",'Mapa final'!$AA$31="Catastrófico"),CONCATENATE("R7C",'Mapa final'!$O$31),"")</f>
        <v/>
      </c>
      <c r="AN32" s="84"/>
      <c r="AO32" s="407"/>
      <c r="AP32" s="408"/>
      <c r="AQ32" s="408"/>
      <c r="AR32" s="408"/>
      <c r="AS32" s="408"/>
      <c r="AT32" s="40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45">
      <c r="A33" s="84"/>
      <c r="B33" s="276"/>
      <c r="C33" s="276"/>
      <c r="D33" s="277"/>
      <c r="E33" s="377"/>
      <c r="F33" s="378"/>
      <c r="G33" s="378"/>
      <c r="H33" s="378"/>
      <c r="I33" s="393"/>
      <c r="J33" s="68" t="str">
        <f>IF(AND('Mapa final'!$Y$32="Media",'Mapa final'!$AA$32="Leve"),CONCATENATE("R8C",'Mapa final'!$O$32),"")</f>
        <v/>
      </c>
      <c r="K33" s="69" t="str">
        <f>IF(AND('Mapa final'!$Y$33="Media",'Mapa final'!$AA$33="Leve"),CONCATENATE("R8C",'Mapa final'!$O$33),"")</f>
        <v/>
      </c>
      <c r="L33" s="69" t="str">
        <f>IF(AND('Mapa final'!$Y$34="Media",'Mapa final'!$AA$34="Leve"),CONCATENATE("R8C",'Mapa final'!$O$34),"")</f>
        <v/>
      </c>
      <c r="M33" s="69" t="str">
        <f>IF(AND('Mapa final'!$Y$35="Media",'Mapa final'!$AA$35="Leve"),CONCATENATE("R8C",'Mapa final'!$O$35),"")</f>
        <v/>
      </c>
      <c r="N33" s="69" t="str">
        <f>IF(AND('Mapa final'!$Y$36="Media",'Mapa final'!$AA$36="Leve"),CONCATENATE("R8C",'Mapa final'!$O$36),"")</f>
        <v/>
      </c>
      <c r="O33" s="70" t="str">
        <f>IF(AND('Mapa final'!$Y$37="Media",'Mapa final'!$AA$37="Leve"),CONCATENATE("R8C",'Mapa final'!$O$37),"")</f>
        <v/>
      </c>
      <c r="P33" s="68" t="str">
        <f>IF(AND('Mapa final'!$Y$32="Media",'Mapa final'!$AA$32="Menor"),CONCATENATE("R8C",'Mapa final'!$O$32),"")</f>
        <v/>
      </c>
      <c r="Q33" s="69" t="str">
        <f>IF(AND('Mapa final'!$Y$33="Media",'Mapa final'!$AA$33="Menor"),CONCATENATE("R8C",'Mapa final'!$O$33),"")</f>
        <v/>
      </c>
      <c r="R33" s="69" t="str">
        <f>IF(AND('Mapa final'!$Y$34="Media",'Mapa final'!$AA$34="Menor"),CONCATENATE("R8C",'Mapa final'!$O$34),"")</f>
        <v/>
      </c>
      <c r="S33" s="69" t="str">
        <f>IF(AND('Mapa final'!$Y$35="Media",'Mapa final'!$AA$35="Menor"),CONCATENATE("R8C",'Mapa final'!$O$35),"")</f>
        <v/>
      </c>
      <c r="T33" s="69" t="str">
        <f>IF(AND('Mapa final'!$Y$36="Media",'Mapa final'!$AA$36="Menor"),CONCATENATE("R8C",'Mapa final'!$O$36),"")</f>
        <v/>
      </c>
      <c r="U33" s="70" t="str">
        <f>IF(AND('Mapa final'!$Y$37="Media",'Mapa final'!$AA$37="Menor"),CONCATENATE("R8C",'Mapa final'!$O$37),"")</f>
        <v/>
      </c>
      <c r="V33" s="68" t="str">
        <f>IF(AND('Mapa final'!$Y$32="Media",'Mapa final'!$AA$32="Moderado"),CONCATENATE("R8C",'Mapa final'!$O$32),"")</f>
        <v/>
      </c>
      <c r="W33" s="69" t="str">
        <f>IF(AND('Mapa final'!$Y$33="Media",'Mapa final'!$AA$33="Moderado"),CONCATENATE("R8C",'Mapa final'!$O$33),"")</f>
        <v/>
      </c>
      <c r="X33" s="69" t="str">
        <f>IF(AND('Mapa final'!$Y$34="Media",'Mapa final'!$AA$34="Moderado"),CONCATENATE("R8C",'Mapa final'!$O$34),"")</f>
        <v/>
      </c>
      <c r="Y33" s="69" t="str">
        <f>IF(AND('Mapa final'!$Y$35="Media",'Mapa final'!$AA$35="Moderado"),CONCATENATE("R8C",'Mapa final'!$O$35),"")</f>
        <v/>
      </c>
      <c r="Z33" s="69" t="str">
        <f>IF(AND('Mapa final'!$Y$36="Media",'Mapa final'!$AA$36="Moderado"),CONCATENATE("R8C",'Mapa final'!$O$36),"")</f>
        <v/>
      </c>
      <c r="AA33" s="70" t="str">
        <f>IF(AND('Mapa final'!$Y$37="Media",'Mapa final'!$AA$37="Moderado"),CONCATENATE("R8C",'Mapa final'!$O$37),"")</f>
        <v/>
      </c>
      <c r="AB33" s="52" t="str">
        <f>IF(AND('Mapa final'!$Y$32="Media",'Mapa final'!$AA$32="Mayor"),CONCATENATE("R8C",'Mapa final'!$O$32),"")</f>
        <v/>
      </c>
      <c r="AC33" s="53" t="str">
        <f>IF(AND('Mapa final'!$Y$33="Media",'Mapa final'!$AA$33="Mayor"),CONCATENATE("R8C",'Mapa final'!$O$33),"")</f>
        <v/>
      </c>
      <c r="AD33" s="58" t="str">
        <f>IF(AND('Mapa final'!$Y$34="Media",'Mapa final'!$AA$34="Mayor"),CONCATENATE("R8C",'Mapa final'!$O$34),"")</f>
        <v/>
      </c>
      <c r="AE33" s="58" t="str">
        <f>IF(AND('Mapa final'!$Y$35="Media",'Mapa final'!$AA$35="Mayor"),CONCATENATE("R8C",'Mapa final'!$O$35),"")</f>
        <v/>
      </c>
      <c r="AF33" s="58" t="str">
        <f>IF(AND('Mapa final'!$Y$36="Media",'Mapa final'!$AA$36="Mayor"),CONCATENATE("R8C",'Mapa final'!$O$36),"")</f>
        <v/>
      </c>
      <c r="AG33" s="54" t="str">
        <f>IF(AND('Mapa final'!$Y$37="Media",'Mapa final'!$AA$37="Mayor"),CONCATENATE("R8C",'Mapa final'!$O$37),"")</f>
        <v/>
      </c>
      <c r="AH33" s="55" t="str">
        <f>IF(AND('Mapa final'!$Y$32="Media",'Mapa final'!$AA$32="Catastrófico"),CONCATENATE("R8C",'Mapa final'!$O$32),"")</f>
        <v/>
      </c>
      <c r="AI33" s="56" t="str">
        <f>IF(AND('Mapa final'!$Y$33="Media",'Mapa final'!$AA$33="Catastrófico"),CONCATENATE("R8C",'Mapa final'!$O$33),"")</f>
        <v/>
      </c>
      <c r="AJ33" s="56" t="str">
        <f>IF(AND('Mapa final'!$Y$34="Media",'Mapa final'!$AA$34="Catastrófico"),CONCATENATE("R8C",'Mapa final'!$O$34),"")</f>
        <v/>
      </c>
      <c r="AK33" s="56" t="str">
        <f>IF(AND('Mapa final'!$Y$35="Media",'Mapa final'!$AA$35="Catastrófico"),CONCATENATE("R8C",'Mapa final'!$O$35),"")</f>
        <v/>
      </c>
      <c r="AL33" s="56" t="str">
        <f>IF(AND('Mapa final'!$Y$36="Media",'Mapa final'!$AA$36="Catastrófico"),CONCATENATE("R8C",'Mapa final'!$O$36),"")</f>
        <v/>
      </c>
      <c r="AM33" s="57" t="str">
        <f>IF(AND('Mapa final'!$Y$37="Media",'Mapa final'!$AA$37="Catastrófico"),CONCATENATE("R8C",'Mapa final'!$O$37),"")</f>
        <v/>
      </c>
      <c r="AN33" s="84"/>
      <c r="AO33" s="407"/>
      <c r="AP33" s="408"/>
      <c r="AQ33" s="408"/>
      <c r="AR33" s="408"/>
      <c r="AS33" s="408"/>
      <c r="AT33" s="40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45">
      <c r="A34" s="84"/>
      <c r="B34" s="276"/>
      <c r="C34" s="276"/>
      <c r="D34" s="277"/>
      <c r="E34" s="377"/>
      <c r="F34" s="378"/>
      <c r="G34" s="378"/>
      <c r="H34" s="378"/>
      <c r="I34" s="393"/>
      <c r="J34" s="68" t="str">
        <f>IF(AND('Mapa final'!$Y$38="Media",'Mapa final'!$AA$38="Leve"),CONCATENATE("R9C",'Mapa final'!$O$38),"")</f>
        <v/>
      </c>
      <c r="K34" s="69" t="str">
        <f>IF(AND('Mapa final'!$Y$39="Media",'Mapa final'!$AA$39="Leve"),CONCATENATE("R9C",'Mapa final'!$O$39),"")</f>
        <v/>
      </c>
      <c r="L34" s="69" t="str">
        <f>IF(AND('Mapa final'!$Y$40="Media",'Mapa final'!$AA$40="Leve"),CONCATENATE("R9C",'Mapa final'!$O$40),"")</f>
        <v/>
      </c>
      <c r="M34" s="69" t="str">
        <f>IF(AND('Mapa final'!$Y$41="Media",'Mapa final'!$AA$41="Leve"),CONCATENATE("R9C",'Mapa final'!$O$41),"")</f>
        <v/>
      </c>
      <c r="N34" s="69" t="str">
        <f>IF(AND('Mapa final'!$Y$42="Media",'Mapa final'!$AA$42="Leve"),CONCATENATE("R9C",'Mapa final'!$O$42),"")</f>
        <v/>
      </c>
      <c r="O34" s="70" t="str">
        <f>IF(AND('Mapa final'!$Y$43="Media",'Mapa final'!$AA$43="Leve"),CONCATENATE("R9C",'Mapa final'!$O$43),"")</f>
        <v/>
      </c>
      <c r="P34" s="68" t="str">
        <f>IF(AND('Mapa final'!$Y$38="Media",'Mapa final'!$AA$38="Menor"),CONCATENATE("R9C",'Mapa final'!$O$38),"")</f>
        <v/>
      </c>
      <c r="Q34" s="69" t="str">
        <f>IF(AND('Mapa final'!$Y$39="Media",'Mapa final'!$AA$39="Menor"),CONCATENATE("R9C",'Mapa final'!$O$39),"")</f>
        <v/>
      </c>
      <c r="R34" s="69" t="str">
        <f>IF(AND('Mapa final'!$Y$40="Media",'Mapa final'!$AA$40="Menor"),CONCATENATE("R9C",'Mapa final'!$O$40),"")</f>
        <v/>
      </c>
      <c r="S34" s="69" t="str">
        <f>IF(AND('Mapa final'!$Y$41="Media",'Mapa final'!$AA$41="Menor"),CONCATENATE("R9C",'Mapa final'!$O$41),"")</f>
        <v/>
      </c>
      <c r="T34" s="69" t="str">
        <f>IF(AND('Mapa final'!$Y$42="Media",'Mapa final'!$AA$42="Menor"),CONCATENATE("R9C",'Mapa final'!$O$42),"")</f>
        <v/>
      </c>
      <c r="U34" s="70" t="str">
        <f>IF(AND('Mapa final'!$Y$43="Media",'Mapa final'!$AA$43="Menor"),CONCATENATE("R9C",'Mapa final'!$O$43),"")</f>
        <v/>
      </c>
      <c r="V34" s="68" t="str">
        <f>IF(AND('Mapa final'!$Y$38="Media",'Mapa final'!$AA$38="Moderado"),CONCATENATE("R9C",'Mapa final'!$O$38),"")</f>
        <v/>
      </c>
      <c r="W34" s="69" t="str">
        <f>IF(AND('Mapa final'!$Y$39="Media",'Mapa final'!$AA$39="Moderado"),CONCATENATE("R9C",'Mapa final'!$O$39),"")</f>
        <v/>
      </c>
      <c r="X34" s="69" t="str">
        <f>IF(AND('Mapa final'!$Y$40="Media",'Mapa final'!$AA$40="Moderado"),CONCATENATE("R9C",'Mapa final'!$O$40),"")</f>
        <v/>
      </c>
      <c r="Y34" s="69" t="str">
        <f>IF(AND('Mapa final'!$Y$41="Media",'Mapa final'!$AA$41="Moderado"),CONCATENATE("R9C",'Mapa final'!$O$41),"")</f>
        <v/>
      </c>
      <c r="Z34" s="69" t="str">
        <f>IF(AND('Mapa final'!$Y$42="Media",'Mapa final'!$AA$42="Moderado"),CONCATENATE("R9C",'Mapa final'!$O$42),"")</f>
        <v/>
      </c>
      <c r="AA34" s="70" t="str">
        <f>IF(AND('Mapa final'!$Y$43="Media",'Mapa final'!$AA$43="Moderado"),CONCATENATE("R9C",'Mapa final'!$O$43),"")</f>
        <v/>
      </c>
      <c r="AB34" s="52" t="str">
        <f>IF(AND('Mapa final'!$Y$38="Media",'Mapa final'!$AA$38="Mayor"),CONCATENATE("R9C",'Mapa final'!$O$38),"")</f>
        <v/>
      </c>
      <c r="AC34" s="53" t="str">
        <f>IF(AND('Mapa final'!$Y$39="Media",'Mapa final'!$AA$39="Mayor"),CONCATENATE("R9C",'Mapa final'!$O$39),"")</f>
        <v/>
      </c>
      <c r="AD34" s="58" t="str">
        <f>IF(AND('Mapa final'!$Y$40="Media",'Mapa final'!$AA$40="Mayor"),CONCATENATE("R9C",'Mapa final'!$O$40),"")</f>
        <v/>
      </c>
      <c r="AE34" s="58" t="str">
        <f>IF(AND('Mapa final'!$Y$41="Media",'Mapa final'!$AA$41="Mayor"),CONCATENATE("R9C",'Mapa final'!$O$41),"")</f>
        <v/>
      </c>
      <c r="AF34" s="58" t="str">
        <f>IF(AND('Mapa final'!$Y$42="Media",'Mapa final'!$AA$42="Mayor"),CONCATENATE("R9C",'Mapa final'!$O$42),"")</f>
        <v/>
      </c>
      <c r="AG34" s="54" t="str">
        <f>IF(AND('Mapa final'!$Y$43="Media",'Mapa final'!$AA$43="Mayor"),CONCATENATE("R9C",'Mapa final'!$O$43),"")</f>
        <v/>
      </c>
      <c r="AH34" s="55" t="str">
        <f>IF(AND('Mapa final'!$Y$38="Media",'Mapa final'!$AA$38="Catastrófico"),CONCATENATE("R9C",'Mapa final'!$O$38),"")</f>
        <v/>
      </c>
      <c r="AI34" s="56" t="str">
        <f>IF(AND('Mapa final'!$Y$39="Media",'Mapa final'!$AA$39="Catastrófico"),CONCATENATE("R9C",'Mapa final'!$O$39),"")</f>
        <v/>
      </c>
      <c r="AJ34" s="56" t="str">
        <f>IF(AND('Mapa final'!$Y$40="Media",'Mapa final'!$AA$40="Catastrófico"),CONCATENATE("R9C",'Mapa final'!$O$40),"")</f>
        <v/>
      </c>
      <c r="AK34" s="56" t="str">
        <f>IF(AND('Mapa final'!$Y$41="Media",'Mapa final'!$AA$41="Catastrófico"),CONCATENATE("R9C",'Mapa final'!$O$41),"")</f>
        <v/>
      </c>
      <c r="AL34" s="56" t="str">
        <f>IF(AND('Mapa final'!$Y$42="Media",'Mapa final'!$AA$42="Catastrófico"),CONCATENATE("R9C",'Mapa final'!$O$42),"")</f>
        <v/>
      </c>
      <c r="AM34" s="57" t="str">
        <f>IF(AND('Mapa final'!$Y$43="Media",'Mapa final'!$AA$43="Catastrófico"),CONCATENATE("R9C",'Mapa final'!$O$43),"")</f>
        <v/>
      </c>
      <c r="AN34" s="84"/>
      <c r="AO34" s="407"/>
      <c r="AP34" s="408"/>
      <c r="AQ34" s="408"/>
      <c r="AR34" s="408"/>
      <c r="AS34" s="408"/>
      <c r="AT34" s="40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5">
      <c r="A35" s="84"/>
      <c r="B35" s="276"/>
      <c r="C35" s="276"/>
      <c r="D35" s="277"/>
      <c r="E35" s="379"/>
      <c r="F35" s="380"/>
      <c r="G35" s="380"/>
      <c r="H35" s="380"/>
      <c r="I35" s="394"/>
      <c r="J35" s="68" t="str">
        <f>IF(AND('Mapa final'!$Y$44="Media",'Mapa final'!$AA$44="Leve"),CONCATENATE("R10C",'Mapa final'!$O$44),"")</f>
        <v/>
      </c>
      <c r="K35" s="69" t="str">
        <f>IF(AND('Mapa final'!$Y$45="Media",'Mapa final'!$AA$45="Leve"),CONCATENATE("R10C",'Mapa final'!$O$45),"")</f>
        <v/>
      </c>
      <c r="L35" s="69" t="str">
        <f>IF(AND('Mapa final'!$Y$46="Media",'Mapa final'!$AA$46="Leve"),CONCATENATE("R10C",'Mapa final'!$O$46),"")</f>
        <v/>
      </c>
      <c r="M35" s="69" t="str">
        <f>IF(AND('Mapa final'!$Y$47="Media",'Mapa final'!$AA$47="Leve"),CONCATENATE("R10C",'Mapa final'!$O$47),"")</f>
        <v/>
      </c>
      <c r="N35" s="69" t="str">
        <f>IF(AND('Mapa final'!$Y$48="Media",'Mapa final'!$AA$48="Leve"),CONCATENATE("R10C",'Mapa final'!$O$48),"")</f>
        <v/>
      </c>
      <c r="O35" s="70" t="str">
        <f>IF(AND('Mapa final'!$Y$49="Media",'Mapa final'!$AA$49="Leve"),CONCATENATE("R10C",'Mapa final'!$O$49),"")</f>
        <v/>
      </c>
      <c r="P35" s="68" t="str">
        <f>IF(AND('Mapa final'!$Y$44="Media",'Mapa final'!$AA$44="Menor"),CONCATENATE("R10C",'Mapa final'!$O$44),"")</f>
        <v/>
      </c>
      <c r="Q35" s="69" t="str">
        <f>IF(AND('Mapa final'!$Y$45="Media",'Mapa final'!$AA$45="Menor"),CONCATENATE("R10C",'Mapa final'!$O$45),"")</f>
        <v/>
      </c>
      <c r="R35" s="69" t="str">
        <f>IF(AND('Mapa final'!$Y$46="Media",'Mapa final'!$AA$46="Menor"),CONCATENATE("R10C",'Mapa final'!$O$46),"")</f>
        <v/>
      </c>
      <c r="S35" s="69" t="str">
        <f>IF(AND('Mapa final'!$Y$47="Media",'Mapa final'!$AA$47="Menor"),CONCATENATE("R10C",'Mapa final'!$O$47),"")</f>
        <v/>
      </c>
      <c r="T35" s="69" t="str">
        <f>IF(AND('Mapa final'!$Y$48="Media",'Mapa final'!$AA$48="Menor"),CONCATENATE("R10C",'Mapa final'!$O$48),"")</f>
        <v/>
      </c>
      <c r="U35" s="70" t="str">
        <f>IF(AND('Mapa final'!$Y$49="Media",'Mapa final'!$AA$49="Menor"),CONCATENATE("R10C",'Mapa final'!$O$49),"")</f>
        <v/>
      </c>
      <c r="V35" s="68" t="str">
        <f>IF(AND('Mapa final'!$Y$44="Media",'Mapa final'!$AA$44="Moderado"),CONCATENATE("R10C",'Mapa final'!$O$44),"")</f>
        <v/>
      </c>
      <c r="W35" s="69" t="str">
        <f>IF(AND('Mapa final'!$Y$45="Media",'Mapa final'!$AA$45="Moderado"),CONCATENATE("R10C",'Mapa final'!$O$45),"")</f>
        <v/>
      </c>
      <c r="X35" s="69" t="str">
        <f>IF(AND('Mapa final'!$Y$46="Media",'Mapa final'!$AA$46="Moderado"),CONCATENATE("R10C",'Mapa final'!$O$46),"")</f>
        <v/>
      </c>
      <c r="Y35" s="69" t="str">
        <f>IF(AND('Mapa final'!$Y$47="Media",'Mapa final'!$AA$47="Moderado"),CONCATENATE("R10C",'Mapa final'!$O$47),"")</f>
        <v/>
      </c>
      <c r="Z35" s="69" t="str">
        <f>IF(AND('Mapa final'!$Y$48="Media",'Mapa final'!$AA$48="Moderado"),CONCATENATE("R10C",'Mapa final'!$O$48),"")</f>
        <v/>
      </c>
      <c r="AA35" s="70" t="str">
        <f>IF(AND('Mapa final'!$Y$49="Media",'Mapa final'!$AA$49="Moderado"),CONCATENATE("R10C",'Mapa final'!$O$49),"")</f>
        <v/>
      </c>
      <c r="AB35" s="59" t="str">
        <f>IF(AND('Mapa final'!$Y$44="Media",'Mapa final'!$AA$44="Mayor"),CONCATENATE("R10C",'Mapa final'!$O$44),"")</f>
        <v/>
      </c>
      <c r="AC35" s="60" t="str">
        <f>IF(AND('Mapa final'!$Y$45="Media",'Mapa final'!$AA$45="Mayor"),CONCATENATE("R10C",'Mapa final'!$O$45),"")</f>
        <v/>
      </c>
      <c r="AD35" s="60" t="str">
        <f>IF(AND('Mapa final'!$Y$46="Media",'Mapa final'!$AA$46="Mayor"),CONCATENATE("R10C",'Mapa final'!$O$46),"")</f>
        <v/>
      </c>
      <c r="AE35" s="60" t="str">
        <f>IF(AND('Mapa final'!$Y$47="Media",'Mapa final'!$AA$47="Mayor"),CONCATENATE("R10C",'Mapa final'!$O$47),"")</f>
        <v/>
      </c>
      <c r="AF35" s="60" t="str">
        <f>IF(AND('Mapa final'!$Y$48="Media",'Mapa final'!$AA$48="Mayor"),CONCATENATE("R10C",'Mapa final'!$O$48),"")</f>
        <v/>
      </c>
      <c r="AG35" s="61" t="str">
        <f>IF(AND('Mapa final'!$Y$49="Media",'Mapa final'!$AA$49="Mayor"),CONCATENATE("R10C",'Mapa final'!$O$49),"")</f>
        <v/>
      </c>
      <c r="AH35" s="62" t="str">
        <f>IF(AND('Mapa final'!$Y$44="Media",'Mapa final'!$AA$44="Catastrófico"),CONCATENATE("R10C",'Mapa final'!$O$44),"")</f>
        <v/>
      </c>
      <c r="AI35" s="63" t="str">
        <f>IF(AND('Mapa final'!$Y$45="Media",'Mapa final'!$AA$45="Catastrófico"),CONCATENATE("R10C",'Mapa final'!$O$45),"")</f>
        <v/>
      </c>
      <c r="AJ35" s="63" t="str">
        <f>IF(AND('Mapa final'!$Y$46="Media",'Mapa final'!$AA$46="Catastrófico"),CONCATENATE("R10C",'Mapa final'!$O$46),"")</f>
        <v/>
      </c>
      <c r="AK35" s="63" t="str">
        <f>IF(AND('Mapa final'!$Y$47="Media",'Mapa final'!$AA$47="Catastrófico"),CONCATENATE("R10C",'Mapa final'!$O$47),"")</f>
        <v/>
      </c>
      <c r="AL35" s="63" t="str">
        <f>IF(AND('Mapa final'!$Y$48="Media",'Mapa final'!$AA$48="Catastrófico"),CONCATENATE("R10C",'Mapa final'!$O$48),"")</f>
        <v/>
      </c>
      <c r="AM35" s="64" t="str">
        <f>IF(AND('Mapa final'!$Y$49="Media",'Mapa final'!$AA$49="Catastrófico"),CONCATENATE("R10C",'Mapa final'!$O$49),"")</f>
        <v/>
      </c>
      <c r="AN35" s="84"/>
      <c r="AO35" s="410"/>
      <c r="AP35" s="411"/>
      <c r="AQ35" s="411"/>
      <c r="AR35" s="411"/>
      <c r="AS35" s="411"/>
      <c r="AT35" s="41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45">
      <c r="A36" s="84"/>
      <c r="B36" s="276"/>
      <c r="C36" s="276"/>
      <c r="D36" s="277"/>
      <c r="E36" s="373" t="s">
        <v>114</v>
      </c>
      <c r="F36" s="374"/>
      <c r="G36" s="374"/>
      <c r="H36" s="374"/>
      <c r="I36" s="374"/>
      <c r="J36" s="74" t="str">
        <f>IF(AND('Mapa final'!$Y$10="Baja",'Mapa final'!$AA$10="Leve"),CONCATENATE("R1C",'Mapa final'!$O$10),"")</f>
        <v/>
      </c>
      <c r="K36" s="75" t="e">
        <f>IF(AND('Mapa final'!#REF!="Baja",'Mapa final'!#REF!="Leve"),CONCATENATE("R1C",'Mapa final'!#REF!),"")</f>
        <v>#REF!</v>
      </c>
      <c r="L36" s="75" t="e">
        <f>IF(AND('Mapa final'!#REF!="Baja",'Mapa final'!#REF!="Leve"),CONCATENATE("R1C",'Mapa final'!#REF!),"")</f>
        <v>#REF!</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IF(AND('Mapa final'!$Y$10="Baja",'Mapa final'!$AA$10="Menor"),CONCATENATE("R1C",'Mapa final'!$O$10),"")</f>
        <v/>
      </c>
      <c r="Q36" s="66" t="e">
        <f>IF(AND('Mapa final'!#REF!="Baja",'Mapa final'!#REF!="Menor"),CONCATENATE("R1C",'Mapa final'!#REF!),"")</f>
        <v>#REF!</v>
      </c>
      <c r="R36" s="66" t="e">
        <f>IF(AND('Mapa final'!#REF!="Baja",'Mapa final'!#REF!="Menor"),CONCATENATE("R1C",'Mapa final'!#REF!),"")</f>
        <v>#REF!</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IF(AND('Mapa final'!$Y$10="Baja",'Mapa final'!$AA$10="Moderado"),CONCATENATE("R1C",'Mapa final'!$O$10),"")</f>
        <v>R1C1</v>
      </c>
      <c r="W36" s="66" t="e">
        <f>IF(AND('Mapa final'!#REF!="Baja",'Mapa final'!#REF!="Moderado"),CONCATENATE("R1C",'Mapa final'!#REF!),"")</f>
        <v>#REF!</v>
      </c>
      <c r="X36" s="66" t="e">
        <f>IF(AND('Mapa final'!#REF!="Baja",'Mapa final'!#REF!="Moderado"),CONCATENATE("R1C",'Mapa final'!#REF!),"")</f>
        <v>#REF!</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395" t="s">
        <v>82</v>
      </c>
      <c r="AP36" s="396"/>
      <c r="AQ36" s="396"/>
      <c r="AR36" s="396"/>
      <c r="AS36" s="396"/>
      <c r="AT36" s="397"/>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45">
      <c r="A37" s="84"/>
      <c r="B37" s="276"/>
      <c r="C37" s="276"/>
      <c r="D37" s="277"/>
      <c r="E37" s="375"/>
      <c r="F37" s="376"/>
      <c r="G37" s="376"/>
      <c r="H37" s="376"/>
      <c r="I37" s="376"/>
      <c r="J37" s="77" t="str">
        <f>IF(AND('Mapa final'!$Y$11="Baja",'Mapa final'!$AA$11="Leve"),CONCATENATE("R2C",'Mapa final'!$O$11),"")</f>
        <v/>
      </c>
      <c r="K37" s="78" t="e">
        <f>IF(AND('Mapa final'!#REF!="Baja",'Mapa final'!#REF!="Leve"),CONCATENATE("R2C",'Mapa final'!#REF!),"")</f>
        <v>#REF!</v>
      </c>
      <c r="L37" s="78" t="e">
        <f>IF(AND('Mapa final'!#REF!="Baja",'Mapa final'!#REF!="Leve"),CONCATENATE("R2C",'Mapa final'!#REF!),"")</f>
        <v>#REF!</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str">
        <f>IF(AND('Mapa final'!$Y$11="Baja",'Mapa final'!$AA$11="Menor"),CONCATENATE("R2C",'Mapa final'!$O$11),"")</f>
        <v/>
      </c>
      <c r="Q37" s="69" t="e">
        <f>IF(AND('Mapa final'!#REF!="Baja",'Mapa final'!#REF!="Menor"),CONCATENATE("R2C",'Mapa final'!#REF!),"")</f>
        <v>#REF!</v>
      </c>
      <c r="R37" s="69" t="e">
        <f>IF(AND('Mapa final'!#REF!="Baja",'Mapa final'!#REF!="Menor"),CONCATENATE("R2C",'Mapa final'!#REF!),"")</f>
        <v>#REF!</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str">
        <f>IF(AND('Mapa final'!$Y$11="Baja",'Mapa final'!$AA$11="Moderado"),CONCATENATE("R2C",'Mapa final'!$O$11),"")</f>
        <v/>
      </c>
      <c r="W37" s="69" t="e">
        <f>IF(AND('Mapa final'!#REF!="Baja",'Mapa final'!#REF!="Moderado"),CONCATENATE("R2C",'Mapa final'!#REF!),"")</f>
        <v>#REF!</v>
      </c>
      <c r="X37" s="69" t="e">
        <f>IF(AND('Mapa final'!#REF!="Baja",'Mapa final'!#REF!="Moderado"),CONCATENATE("R2C",'Mapa final'!#REF!),"")</f>
        <v>#REF!</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398"/>
      <c r="AP37" s="399"/>
      <c r="AQ37" s="399"/>
      <c r="AR37" s="399"/>
      <c r="AS37" s="399"/>
      <c r="AT37" s="400"/>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45">
      <c r="A38" s="84"/>
      <c r="B38" s="276"/>
      <c r="C38" s="276"/>
      <c r="D38" s="277"/>
      <c r="E38" s="377"/>
      <c r="F38" s="378"/>
      <c r="G38" s="378"/>
      <c r="H38" s="378"/>
      <c r="I38" s="376"/>
      <c r="J38" s="77" t="e">
        <f>IF(AND('Mapa final'!#REF!="Baja",'Mapa final'!#REF!="Leve"),CONCATENATE("R3C",'Mapa final'!#REF!),"")</f>
        <v>#REF!</v>
      </c>
      <c r="K38" s="78" t="str">
        <f>IF(AND('Mapa final'!$Y$12="Baja",'Mapa final'!$AA$12="Leve"),CONCATENATE("R3C",'Mapa final'!$O$12),"")</f>
        <v/>
      </c>
      <c r="L38" s="78" t="e">
        <f>IF(AND('Mapa final'!#REF!="Baja",'Mapa final'!#REF!="Leve"),CONCATENATE("R3C",'Mapa final'!#REF!),"")</f>
        <v>#REF!</v>
      </c>
      <c r="M38" s="78" t="e">
        <f>IF(AND('Mapa final'!#REF!="Baja",'Mapa final'!#REF!="Leve"),CONCATENATE("R3C",'Mapa final'!#REF!),"")</f>
        <v>#REF!</v>
      </c>
      <c r="N38" s="78" t="e">
        <f>IF(AND('Mapa final'!#REF!="Baja",'Mapa final'!#REF!="Leve"),CONCATENATE("R3C",'Mapa final'!#REF!),"")</f>
        <v>#REF!</v>
      </c>
      <c r="O38" s="79" t="e">
        <f>IF(AND('Mapa final'!#REF!="Baja",'Mapa final'!#REF!="Leve"),CONCATENATE("R3C",'Mapa final'!#REF!),"")</f>
        <v>#REF!</v>
      </c>
      <c r="P38" s="68" t="e">
        <f>IF(AND('Mapa final'!#REF!="Baja",'Mapa final'!#REF!="Menor"),CONCATENATE("R3C",'Mapa final'!#REF!),"")</f>
        <v>#REF!</v>
      </c>
      <c r="Q38" s="69" t="str">
        <f>IF(AND('Mapa final'!$Y$12="Baja",'Mapa final'!$AA$12="Menor"),CONCATENATE("R3C",'Mapa final'!$O$12),"")</f>
        <v/>
      </c>
      <c r="R38" s="69" t="e">
        <f>IF(AND('Mapa final'!#REF!="Baja",'Mapa final'!#REF!="Menor"),CONCATENATE("R3C",'Mapa final'!#REF!),"")</f>
        <v>#REF!</v>
      </c>
      <c r="S38" s="69" t="e">
        <f>IF(AND('Mapa final'!#REF!="Baja",'Mapa final'!#REF!="Menor"),CONCATENATE("R3C",'Mapa final'!#REF!),"")</f>
        <v>#REF!</v>
      </c>
      <c r="T38" s="69" t="e">
        <f>IF(AND('Mapa final'!#REF!="Baja",'Mapa final'!#REF!="Menor"),CONCATENATE("R3C",'Mapa final'!#REF!),"")</f>
        <v>#REF!</v>
      </c>
      <c r="U38" s="70" t="e">
        <f>IF(AND('Mapa final'!#REF!="Baja",'Mapa final'!#REF!="Menor"),CONCATENATE("R3C",'Mapa final'!#REF!),"")</f>
        <v>#REF!</v>
      </c>
      <c r="V38" s="68" t="e">
        <f>IF(AND('Mapa final'!#REF!="Baja",'Mapa final'!#REF!="Moderado"),CONCATENATE("R3C",'Mapa final'!#REF!),"")</f>
        <v>#REF!</v>
      </c>
      <c r="W38" s="69" t="str">
        <f>IF(AND('Mapa final'!$Y$12="Baja",'Mapa final'!$AA$12="Moderado"),CONCATENATE("R3C",'Mapa final'!$O$12),"")</f>
        <v/>
      </c>
      <c r="X38" s="69" t="e">
        <f>IF(AND('Mapa final'!#REF!="Baja",'Mapa final'!#REF!="Moderado"),CONCATENATE("R3C",'Mapa final'!#REF!),"")</f>
        <v>#REF!</v>
      </c>
      <c r="Y38" s="69" t="e">
        <f>IF(AND('Mapa final'!#REF!="Baja",'Mapa final'!#REF!="Moderado"),CONCATENATE("R3C",'Mapa final'!#REF!),"")</f>
        <v>#REF!</v>
      </c>
      <c r="Z38" s="69" t="e">
        <f>IF(AND('Mapa final'!#REF!="Baja",'Mapa final'!#REF!="Moderado"),CONCATENATE("R3C",'Mapa final'!#REF!),"")</f>
        <v>#REF!</v>
      </c>
      <c r="AA38" s="70" t="e">
        <f>IF(AND('Mapa final'!#REF!="Baja",'Mapa final'!#REF!="Moderado"),CONCATENATE("R3C",'Mapa final'!#REF!),"")</f>
        <v>#REF!</v>
      </c>
      <c r="AB38" s="52" t="e">
        <f>IF(AND('Mapa final'!#REF!="Baja",'Mapa final'!#REF!="Mayor"),CONCATENATE("R3C",'Mapa final'!#REF!),"")</f>
        <v>#REF!</v>
      </c>
      <c r="AC38" s="53" t="str">
        <f>IF(AND('Mapa final'!$Y$12="Baja",'Mapa final'!$AA$12="Mayor"),CONCATENATE("R3C",'Mapa final'!$O$12),"")</f>
        <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e">
        <f>IF(AND('Mapa final'!#REF!="Baja",'Mapa final'!#REF!="Catastrófico"),CONCATENATE("R3C",'Mapa final'!#REF!),"")</f>
        <v>#REF!</v>
      </c>
      <c r="AI38" s="56" t="str">
        <f>IF(AND('Mapa final'!$Y$12="Baja",'Mapa final'!$AA$12="Catastrófico"),CONCATENATE("R3C",'Mapa final'!$O$12),"")</f>
        <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4"/>
      <c r="AO38" s="398"/>
      <c r="AP38" s="399"/>
      <c r="AQ38" s="399"/>
      <c r="AR38" s="399"/>
      <c r="AS38" s="399"/>
      <c r="AT38" s="400"/>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45">
      <c r="A39" s="84"/>
      <c r="B39" s="276"/>
      <c r="C39" s="276"/>
      <c r="D39" s="277"/>
      <c r="E39" s="377"/>
      <c r="F39" s="378"/>
      <c r="G39" s="378"/>
      <c r="H39" s="378"/>
      <c r="I39" s="376"/>
      <c r="J39" s="77" t="str">
        <f>IF(AND('Mapa final'!$Y$13="Baja",'Mapa final'!$AA$13="Leve"),CONCATENATE("R4C",'Mapa final'!$O$13),"")</f>
        <v/>
      </c>
      <c r="K39" s="78" t="e">
        <f>IF(AND('Mapa final'!#REF!="Baja",'Mapa final'!#REF!="Leve"),CONCATENATE("R4C",'Mapa final'!#REF!),"")</f>
        <v>#REF!</v>
      </c>
      <c r="L39" s="78" t="e">
        <f>IF(AND('Mapa final'!#REF!="Baja",'Mapa final'!#REF!="Leve"),CONCATENATE("R4C",'Mapa final'!#REF!),"")</f>
        <v>#REF!</v>
      </c>
      <c r="M39" s="78" t="e">
        <f>IF(AND('Mapa final'!#REF!="Baja",'Mapa final'!#REF!="Leve"),CONCATENATE("R4C",'Mapa final'!#REF!),"")</f>
        <v>#REF!</v>
      </c>
      <c r="N39" s="78" t="e">
        <f>IF(AND('Mapa final'!#REF!="Baja",'Mapa final'!#REF!="Leve"),CONCATENATE("R4C",'Mapa final'!#REF!),"")</f>
        <v>#REF!</v>
      </c>
      <c r="O39" s="79" t="e">
        <f>IF(AND('Mapa final'!#REF!="Baja",'Mapa final'!#REF!="Leve"),CONCATENATE("R4C",'Mapa final'!#REF!),"")</f>
        <v>#REF!</v>
      </c>
      <c r="P39" s="68" t="str">
        <f>IF(AND('Mapa final'!$Y$13="Baja",'Mapa final'!$AA$13="Menor"),CONCATENATE("R4C",'Mapa final'!$O$13),"")</f>
        <v/>
      </c>
      <c r="Q39" s="69" t="e">
        <f>IF(AND('Mapa final'!#REF!="Baja",'Mapa final'!#REF!="Menor"),CONCATENATE("R4C",'Mapa final'!#REF!),"")</f>
        <v>#REF!</v>
      </c>
      <c r="R39" s="69" t="e">
        <f>IF(AND('Mapa final'!#REF!="Baja",'Mapa final'!#REF!="Menor"),CONCATENATE("R4C",'Mapa final'!#REF!),"")</f>
        <v>#REF!</v>
      </c>
      <c r="S39" s="69" t="e">
        <f>IF(AND('Mapa final'!#REF!="Baja",'Mapa final'!#REF!="Menor"),CONCATENATE("R4C",'Mapa final'!#REF!),"")</f>
        <v>#REF!</v>
      </c>
      <c r="T39" s="69" t="e">
        <f>IF(AND('Mapa final'!#REF!="Baja",'Mapa final'!#REF!="Menor"),CONCATENATE("R4C",'Mapa final'!#REF!),"")</f>
        <v>#REF!</v>
      </c>
      <c r="U39" s="70" t="e">
        <f>IF(AND('Mapa final'!#REF!="Baja",'Mapa final'!#REF!="Menor"),CONCATENATE("R4C",'Mapa final'!#REF!),"")</f>
        <v>#REF!</v>
      </c>
      <c r="V39" s="68" t="str">
        <f>IF(AND('Mapa final'!$Y$13="Baja",'Mapa final'!$AA$13="Moderado"),CONCATENATE("R4C",'Mapa final'!$O$13),"")</f>
        <v/>
      </c>
      <c r="W39" s="69" t="e">
        <f>IF(AND('Mapa final'!#REF!="Baja",'Mapa final'!#REF!="Moderado"),CONCATENATE("R4C",'Mapa final'!#REF!),"")</f>
        <v>#REF!</v>
      </c>
      <c r="X39" s="69" t="e">
        <f>IF(AND('Mapa final'!#REF!="Baja",'Mapa final'!#REF!="Moderado"),CONCATENATE("R4C",'Mapa final'!#REF!),"")</f>
        <v>#REF!</v>
      </c>
      <c r="Y39" s="69" t="e">
        <f>IF(AND('Mapa final'!#REF!="Baja",'Mapa final'!#REF!="Moderado"),CONCATENATE("R4C",'Mapa final'!#REF!),"")</f>
        <v>#REF!</v>
      </c>
      <c r="Z39" s="69" t="e">
        <f>IF(AND('Mapa final'!#REF!="Baja",'Mapa final'!#REF!="Moderado"),CONCATENATE("R4C",'Mapa final'!#REF!),"")</f>
        <v>#REF!</v>
      </c>
      <c r="AA39" s="70" t="e">
        <f>IF(AND('Mapa final'!#REF!="Baja",'Mapa final'!#REF!="Moderado"),CONCATENATE("R4C",'Mapa final'!#REF!),"")</f>
        <v>#REF!</v>
      </c>
      <c r="AB39" s="52" t="str">
        <f>IF(AND('Mapa final'!$Y$13="Baja",'Mapa final'!$AA$13="Mayor"),CONCATENATE("R4C",'Mapa final'!$O$13),"")</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final'!$Y$13="Baja",'Mapa final'!$AA$13="Catastrófico"),CONCATENATE("R4C",'Mapa final'!$O$13),"")</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4"/>
      <c r="AO39" s="398"/>
      <c r="AP39" s="399"/>
      <c r="AQ39" s="399"/>
      <c r="AR39" s="399"/>
      <c r="AS39" s="399"/>
      <c r="AT39" s="400"/>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45">
      <c r="A40" s="84"/>
      <c r="B40" s="276"/>
      <c r="C40" s="276"/>
      <c r="D40" s="277"/>
      <c r="E40" s="377"/>
      <c r="F40" s="378"/>
      <c r="G40" s="378"/>
      <c r="H40" s="378"/>
      <c r="I40" s="376"/>
      <c r="J40" s="77" t="str">
        <f>IF(AND('Mapa final'!$Y$14="Baja",'Mapa final'!$AA$14="Leve"),CONCATENATE("R5C",'Mapa final'!$O$14),"")</f>
        <v/>
      </c>
      <c r="K40" s="78" t="str">
        <f>IF(AND('Mapa final'!$Y$15="Baja",'Mapa final'!$AA$15="Leve"),CONCATENATE("R5C",'Mapa final'!$O$15),"")</f>
        <v/>
      </c>
      <c r="L40" s="78" t="str">
        <f>IF(AND('Mapa final'!$Y$16="Baja",'Mapa final'!$AA$16="Leve"),CONCATENATE("R5C",'Mapa final'!$O$16),"")</f>
        <v/>
      </c>
      <c r="M40" s="78" t="str">
        <f>IF(AND('Mapa final'!$Y$17="Baja",'Mapa final'!$AA$17="Leve"),CONCATENATE("R5C",'Mapa final'!$O$17),"")</f>
        <v/>
      </c>
      <c r="N40" s="78" t="str">
        <f>IF(AND('Mapa final'!$Y$18="Baja",'Mapa final'!$AA$18="Leve"),CONCATENATE("R5C",'Mapa final'!$O$18),"")</f>
        <v/>
      </c>
      <c r="O40" s="79" t="str">
        <f>IF(AND('Mapa final'!$Y$19="Baja",'Mapa final'!$AA$19="Leve"),CONCATENATE("R5C",'Mapa final'!$O$19),"")</f>
        <v/>
      </c>
      <c r="P40" s="68" t="str">
        <f>IF(AND('Mapa final'!$Y$14="Baja",'Mapa final'!$AA$14="Menor"),CONCATENATE("R5C",'Mapa final'!$O$14),"")</f>
        <v/>
      </c>
      <c r="Q40" s="69" t="str">
        <f>IF(AND('Mapa final'!$Y$15="Baja",'Mapa final'!$AA$15="Menor"),CONCATENATE("R5C",'Mapa final'!$O$15),"")</f>
        <v/>
      </c>
      <c r="R40" s="69" t="str">
        <f>IF(AND('Mapa final'!$Y$16="Baja",'Mapa final'!$AA$16="Menor"),CONCATENATE("R5C",'Mapa final'!$O$16),"")</f>
        <v/>
      </c>
      <c r="S40" s="69" t="str">
        <f>IF(AND('Mapa final'!$Y$17="Baja",'Mapa final'!$AA$17="Menor"),CONCATENATE("R5C",'Mapa final'!$O$17),"")</f>
        <v/>
      </c>
      <c r="T40" s="69" t="str">
        <f>IF(AND('Mapa final'!$Y$18="Baja",'Mapa final'!$AA$18="Menor"),CONCATENATE("R5C",'Mapa final'!$O$18),"")</f>
        <v/>
      </c>
      <c r="U40" s="70" t="str">
        <f>IF(AND('Mapa final'!$Y$19="Baja",'Mapa final'!$AA$19="Menor"),CONCATENATE("R5C",'Mapa final'!$O$19),"")</f>
        <v/>
      </c>
      <c r="V40" s="68" t="str">
        <f>IF(AND('Mapa final'!$Y$14="Baja",'Mapa final'!$AA$14="Moderado"),CONCATENATE("R5C",'Mapa final'!$O$14),"")</f>
        <v/>
      </c>
      <c r="W40" s="69" t="str">
        <f>IF(AND('Mapa final'!$Y$15="Baja",'Mapa final'!$AA$15="Moderado"),CONCATENATE("R5C",'Mapa final'!$O$15),"")</f>
        <v/>
      </c>
      <c r="X40" s="69" t="str">
        <f>IF(AND('Mapa final'!$Y$16="Baja",'Mapa final'!$AA$16="Moderado"),CONCATENATE("R5C",'Mapa final'!$O$16),"")</f>
        <v/>
      </c>
      <c r="Y40" s="69" t="str">
        <f>IF(AND('Mapa final'!$Y$17="Baja",'Mapa final'!$AA$17="Moderado"),CONCATENATE("R5C",'Mapa final'!$O$17),"")</f>
        <v/>
      </c>
      <c r="Z40" s="69" t="str">
        <f>IF(AND('Mapa final'!$Y$18="Baja",'Mapa final'!$AA$18="Moderado"),CONCATENATE("R5C",'Mapa final'!$O$18),"")</f>
        <v/>
      </c>
      <c r="AA40" s="70" t="str">
        <f>IF(AND('Mapa final'!$Y$19="Baja",'Mapa final'!$AA$19="Moderado"),CONCATENATE("R5C",'Mapa final'!$O$19),"")</f>
        <v/>
      </c>
      <c r="AB40" s="52" t="str">
        <f>IF(AND('Mapa final'!$Y$14="Baja",'Mapa final'!$AA$14="Mayor"),CONCATENATE("R5C",'Mapa final'!$O$14),"")</f>
        <v/>
      </c>
      <c r="AC40" s="53" t="str">
        <f>IF(AND('Mapa final'!$Y$15="Baja",'Mapa final'!$AA$15="Mayor"),CONCATENATE("R5C",'Mapa final'!$O$15),"")</f>
        <v/>
      </c>
      <c r="AD40" s="58" t="str">
        <f>IF(AND('Mapa final'!$Y$16="Baja",'Mapa final'!$AA$16="Mayor"),CONCATENATE("R5C",'Mapa final'!$O$16),"")</f>
        <v/>
      </c>
      <c r="AE40" s="58" t="str">
        <f>IF(AND('Mapa final'!$Y$17="Baja",'Mapa final'!$AA$17="Mayor"),CONCATENATE("R5C",'Mapa final'!$O$17),"")</f>
        <v/>
      </c>
      <c r="AF40" s="58" t="str">
        <f>IF(AND('Mapa final'!$Y$18="Baja",'Mapa final'!$AA$18="Mayor"),CONCATENATE("R5C",'Mapa final'!$O$18),"")</f>
        <v/>
      </c>
      <c r="AG40" s="54" t="str">
        <f>IF(AND('Mapa final'!$Y$19="Baja",'Mapa final'!$AA$19="Mayor"),CONCATENATE("R5C",'Mapa final'!$O$19),"")</f>
        <v/>
      </c>
      <c r="AH40" s="55" t="str">
        <f>IF(AND('Mapa final'!$Y$14="Baja",'Mapa final'!$AA$14="Catastrófico"),CONCATENATE("R5C",'Mapa final'!$O$14),"")</f>
        <v/>
      </c>
      <c r="AI40" s="56" t="str">
        <f>IF(AND('Mapa final'!$Y$15="Baja",'Mapa final'!$AA$15="Catastrófico"),CONCATENATE("R5C",'Mapa final'!$O$15),"")</f>
        <v/>
      </c>
      <c r="AJ40" s="56" t="str">
        <f>IF(AND('Mapa final'!$Y$16="Baja",'Mapa final'!$AA$16="Catastrófico"),CONCATENATE("R5C",'Mapa final'!$O$16),"")</f>
        <v/>
      </c>
      <c r="AK40" s="56" t="str">
        <f>IF(AND('Mapa final'!$Y$17="Baja",'Mapa final'!$AA$17="Catastrófico"),CONCATENATE("R5C",'Mapa final'!$O$17),"")</f>
        <v/>
      </c>
      <c r="AL40" s="56" t="str">
        <f>IF(AND('Mapa final'!$Y$18="Baja",'Mapa final'!$AA$18="Catastrófico"),CONCATENATE("R5C",'Mapa final'!$O$18),"")</f>
        <v/>
      </c>
      <c r="AM40" s="57" t="str">
        <f>IF(AND('Mapa final'!$Y$19="Baja",'Mapa final'!$AA$19="Catastrófico"),CONCATENATE("R5C",'Mapa final'!$O$19),"")</f>
        <v/>
      </c>
      <c r="AN40" s="84"/>
      <c r="AO40" s="398"/>
      <c r="AP40" s="399"/>
      <c r="AQ40" s="399"/>
      <c r="AR40" s="399"/>
      <c r="AS40" s="399"/>
      <c r="AT40" s="400"/>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45">
      <c r="A41" s="84"/>
      <c r="B41" s="276"/>
      <c r="C41" s="276"/>
      <c r="D41" s="277"/>
      <c r="E41" s="377"/>
      <c r="F41" s="378"/>
      <c r="G41" s="378"/>
      <c r="H41" s="378"/>
      <c r="I41" s="376"/>
      <c r="J41" s="77" t="str">
        <f>IF(AND('Mapa final'!$Y$20="Baja",'Mapa final'!$AA$20="Leve"),CONCATENATE("R6C",'Mapa final'!$O$20),"")</f>
        <v/>
      </c>
      <c r="K41" s="78" t="str">
        <f>IF(AND('Mapa final'!$Y$21="Baja",'Mapa final'!$AA$21="Leve"),CONCATENATE("R6C",'Mapa final'!$O$21),"")</f>
        <v/>
      </c>
      <c r="L41" s="78" t="str">
        <f>IF(AND('Mapa final'!$Y$22="Baja",'Mapa final'!$AA$22="Leve"),CONCATENATE("R6C",'Mapa final'!$O$22),"")</f>
        <v/>
      </c>
      <c r="M41" s="78" t="str">
        <f>IF(AND('Mapa final'!$Y$23="Baja",'Mapa final'!$AA$23="Leve"),CONCATENATE("R6C",'Mapa final'!$O$23),"")</f>
        <v/>
      </c>
      <c r="N41" s="78" t="str">
        <f>IF(AND('Mapa final'!$Y$24="Baja",'Mapa final'!$AA$24="Leve"),CONCATENATE("R6C",'Mapa final'!$O$24),"")</f>
        <v/>
      </c>
      <c r="O41" s="79" t="str">
        <f>IF(AND('Mapa final'!$Y$25="Baja",'Mapa final'!$AA$25="Leve"),CONCATENATE("R6C",'Mapa final'!$O$25),"")</f>
        <v/>
      </c>
      <c r="P41" s="68" t="str">
        <f>IF(AND('Mapa final'!$Y$20="Baja",'Mapa final'!$AA$20="Menor"),CONCATENATE("R6C",'Mapa final'!$O$20),"")</f>
        <v/>
      </c>
      <c r="Q41" s="69" t="str">
        <f>IF(AND('Mapa final'!$Y$21="Baja",'Mapa final'!$AA$21="Menor"),CONCATENATE("R6C",'Mapa final'!$O$21),"")</f>
        <v/>
      </c>
      <c r="R41" s="69" t="str">
        <f>IF(AND('Mapa final'!$Y$22="Baja",'Mapa final'!$AA$22="Menor"),CONCATENATE("R6C",'Mapa final'!$O$22),"")</f>
        <v/>
      </c>
      <c r="S41" s="69" t="str">
        <f>IF(AND('Mapa final'!$Y$23="Baja",'Mapa final'!$AA$23="Menor"),CONCATENATE("R6C",'Mapa final'!$O$23),"")</f>
        <v/>
      </c>
      <c r="T41" s="69" t="str">
        <f>IF(AND('Mapa final'!$Y$24="Baja",'Mapa final'!$AA$24="Menor"),CONCATENATE("R6C",'Mapa final'!$O$24),"")</f>
        <v/>
      </c>
      <c r="U41" s="70" t="str">
        <f>IF(AND('Mapa final'!$Y$25="Baja",'Mapa final'!$AA$25="Menor"),CONCATENATE("R6C",'Mapa final'!$O$25),"")</f>
        <v/>
      </c>
      <c r="V41" s="68" t="str">
        <f>IF(AND('Mapa final'!$Y$20="Baja",'Mapa final'!$AA$20="Moderado"),CONCATENATE("R6C",'Mapa final'!$O$20),"")</f>
        <v/>
      </c>
      <c r="W41" s="69" t="str">
        <f>IF(AND('Mapa final'!$Y$21="Baja",'Mapa final'!$AA$21="Moderado"),CONCATENATE("R6C",'Mapa final'!$O$21),"")</f>
        <v/>
      </c>
      <c r="X41" s="69" t="str">
        <f>IF(AND('Mapa final'!$Y$22="Baja",'Mapa final'!$AA$22="Moderado"),CONCATENATE("R6C",'Mapa final'!$O$22),"")</f>
        <v/>
      </c>
      <c r="Y41" s="69" t="str">
        <f>IF(AND('Mapa final'!$Y$23="Baja",'Mapa final'!$AA$23="Moderado"),CONCATENATE("R6C",'Mapa final'!$O$23),"")</f>
        <v/>
      </c>
      <c r="Z41" s="69" t="str">
        <f>IF(AND('Mapa final'!$Y$24="Baja",'Mapa final'!$AA$24="Moderado"),CONCATENATE("R6C",'Mapa final'!$O$24),"")</f>
        <v/>
      </c>
      <c r="AA41" s="70" t="str">
        <f>IF(AND('Mapa final'!$Y$25="Baja",'Mapa final'!$AA$25="Moderado"),CONCATENATE("R6C",'Mapa final'!$O$25),"")</f>
        <v/>
      </c>
      <c r="AB41" s="52" t="str">
        <f>IF(AND('Mapa final'!$Y$20="Baja",'Mapa final'!$AA$20="Mayor"),CONCATENATE("R6C",'Mapa final'!$O$20),"")</f>
        <v/>
      </c>
      <c r="AC41" s="53" t="str">
        <f>IF(AND('Mapa final'!$Y$21="Baja",'Mapa final'!$AA$21="Mayor"),CONCATENATE("R6C",'Mapa final'!$O$21),"")</f>
        <v/>
      </c>
      <c r="AD41" s="58" t="str">
        <f>IF(AND('Mapa final'!$Y$22="Baja",'Mapa final'!$AA$22="Mayor"),CONCATENATE("R6C",'Mapa final'!$O$22),"")</f>
        <v/>
      </c>
      <c r="AE41" s="58" t="str">
        <f>IF(AND('Mapa final'!$Y$23="Baja",'Mapa final'!$AA$23="Mayor"),CONCATENATE("R6C",'Mapa final'!$O$23),"")</f>
        <v/>
      </c>
      <c r="AF41" s="58" t="str">
        <f>IF(AND('Mapa final'!$Y$24="Baja",'Mapa final'!$AA$24="Mayor"),CONCATENATE("R6C",'Mapa final'!$O$24),"")</f>
        <v/>
      </c>
      <c r="AG41" s="54" t="str">
        <f>IF(AND('Mapa final'!$Y$25="Baja",'Mapa final'!$AA$25="Mayor"),CONCATENATE("R6C",'Mapa final'!$O$25),"")</f>
        <v/>
      </c>
      <c r="AH41" s="55" t="str">
        <f>IF(AND('Mapa final'!$Y$20="Baja",'Mapa final'!$AA$20="Catastrófico"),CONCATENATE("R6C",'Mapa final'!$O$20),"")</f>
        <v/>
      </c>
      <c r="AI41" s="56" t="str">
        <f>IF(AND('Mapa final'!$Y$21="Baja",'Mapa final'!$AA$21="Catastrófico"),CONCATENATE("R6C",'Mapa final'!$O$21),"")</f>
        <v/>
      </c>
      <c r="AJ41" s="56" t="str">
        <f>IF(AND('Mapa final'!$Y$22="Baja",'Mapa final'!$AA$22="Catastrófico"),CONCATENATE("R6C",'Mapa final'!$O$22),"")</f>
        <v/>
      </c>
      <c r="AK41" s="56" t="str">
        <f>IF(AND('Mapa final'!$Y$23="Baja",'Mapa final'!$AA$23="Catastrófico"),CONCATENATE("R6C",'Mapa final'!$O$23),"")</f>
        <v/>
      </c>
      <c r="AL41" s="56" t="str">
        <f>IF(AND('Mapa final'!$Y$24="Baja",'Mapa final'!$AA$24="Catastrófico"),CONCATENATE("R6C",'Mapa final'!$O$24),"")</f>
        <v/>
      </c>
      <c r="AM41" s="57" t="str">
        <f>IF(AND('Mapa final'!$Y$25="Baja",'Mapa final'!$AA$25="Catastrófico"),CONCATENATE("R6C",'Mapa final'!$O$25),"")</f>
        <v/>
      </c>
      <c r="AN41" s="84"/>
      <c r="AO41" s="398"/>
      <c r="AP41" s="399"/>
      <c r="AQ41" s="399"/>
      <c r="AR41" s="399"/>
      <c r="AS41" s="399"/>
      <c r="AT41" s="400"/>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45">
      <c r="A42" s="84"/>
      <c r="B42" s="276"/>
      <c r="C42" s="276"/>
      <c r="D42" s="277"/>
      <c r="E42" s="377"/>
      <c r="F42" s="378"/>
      <c r="G42" s="378"/>
      <c r="H42" s="378"/>
      <c r="I42" s="376"/>
      <c r="J42" s="77" t="str">
        <f>IF(AND('Mapa final'!$Y$26="Baja",'Mapa final'!$AA$26="Leve"),CONCATENATE("R7C",'Mapa final'!$O$26),"")</f>
        <v/>
      </c>
      <c r="K42" s="78" t="str">
        <f>IF(AND('Mapa final'!$Y$27="Baja",'Mapa final'!$AA$27="Leve"),CONCATENATE("R7C",'Mapa final'!$O$27),"")</f>
        <v/>
      </c>
      <c r="L42" s="78" t="str">
        <f>IF(AND('Mapa final'!$Y$28="Baja",'Mapa final'!$AA$28="Leve"),CONCATENATE("R7C",'Mapa final'!$O$28),"")</f>
        <v/>
      </c>
      <c r="M42" s="78" t="str">
        <f>IF(AND('Mapa final'!$Y$29="Baja",'Mapa final'!$AA$29="Leve"),CONCATENATE("R7C",'Mapa final'!$O$29),"")</f>
        <v/>
      </c>
      <c r="N42" s="78" t="str">
        <f>IF(AND('Mapa final'!$Y$30="Baja",'Mapa final'!$AA$30="Leve"),CONCATENATE("R7C",'Mapa final'!$O$30),"")</f>
        <v/>
      </c>
      <c r="O42" s="79" t="str">
        <f>IF(AND('Mapa final'!$Y$31="Baja",'Mapa final'!$AA$31="Leve"),CONCATENATE("R7C",'Mapa final'!$O$31),"")</f>
        <v/>
      </c>
      <c r="P42" s="68" t="str">
        <f>IF(AND('Mapa final'!$Y$26="Baja",'Mapa final'!$AA$26="Menor"),CONCATENATE("R7C",'Mapa final'!$O$26),"")</f>
        <v/>
      </c>
      <c r="Q42" s="69" t="str">
        <f>IF(AND('Mapa final'!$Y$27="Baja",'Mapa final'!$AA$27="Menor"),CONCATENATE("R7C",'Mapa final'!$O$27),"")</f>
        <v/>
      </c>
      <c r="R42" s="69" t="str">
        <f>IF(AND('Mapa final'!$Y$28="Baja",'Mapa final'!$AA$28="Menor"),CONCATENATE("R7C",'Mapa final'!$O$28),"")</f>
        <v/>
      </c>
      <c r="S42" s="69" t="str">
        <f>IF(AND('Mapa final'!$Y$29="Baja",'Mapa final'!$AA$29="Menor"),CONCATENATE("R7C",'Mapa final'!$O$29),"")</f>
        <v/>
      </c>
      <c r="T42" s="69" t="str">
        <f>IF(AND('Mapa final'!$Y$30="Baja",'Mapa final'!$AA$30="Menor"),CONCATENATE("R7C",'Mapa final'!$O$30),"")</f>
        <v/>
      </c>
      <c r="U42" s="70" t="str">
        <f>IF(AND('Mapa final'!$Y$31="Baja",'Mapa final'!$AA$31="Menor"),CONCATENATE("R7C",'Mapa final'!$O$31),"")</f>
        <v/>
      </c>
      <c r="V42" s="68" t="str">
        <f>IF(AND('Mapa final'!$Y$26="Baja",'Mapa final'!$AA$26="Moderado"),CONCATENATE("R7C",'Mapa final'!$O$26),"")</f>
        <v/>
      </c>
      <c r="W42" s="69" t="str">
        <f>IF(AND('Mapa final'!$Y$27="Baja",'Mapa final'!$AA$27="Moderado"),CONCATENATE("R7C",'Mapa final'!$O$27),"")</f>
        <v/>
      </c>
      <c r="X42" s="69" t="str">
        <f>IF(AND('Mapa final'!$Y$28="Baja",'Mapa final'!$AA$28="Moderado"),CONCATENATE("R7C",'Mapa final'!$O$28),"")</f>
        <v/>
      </c>
      <c r="Y42" s="69" t="str">
        <f>IF(AND('Mapa final'!$Y$29="Baja",'Mapa final'!$AA$29="Moderado"),CONCATENATE("R7C",'Mapa final'!$O$29),"")</f>
        <v/>
      </c>
      <c r="Z42" s="69" t="str">
        <f>IF(AND('Mapa final'!$Y$30="Baja",'Mapa final'!$AA$30="Moderado"),CONCATENATE("R7C",'Mapa final'!$O$30),"")</f>
        <v/>
      </c>
      <c r="AA42" s="70" t="str">
        <f>IF(AND('Mapa final'!$Y$31="Baja",'Mapa final'!$AA$31="Moderado"),CONCATENATE("R7C",'Mapa final'!$O$31),"")</f>
        <v/>
      </c>
      <c r="AB42" s="52" t="str">
        <f>IF(AND('Mapa final'!$Y$26="Baja",'Mapa final'!$AA$26="Mayor"),CONCATENATE("R7C",'Mapa final'!$O$26),"")</f>
        <v/>
      </c>
      <c r="AC42" s="53" t="str">
        <f>IF(AND('Mapa final'!$Y$27="Baja",'Mapa final'!$AA$27="Mayor"),CONCATENATE("R7C",'Mapa final'!$O$27),"")</f>
        <v/>
      </c>
      <c r="AD42" s="58" t="str">
        <f>IF(AND('Mapa final'!$Y$28="Baja",'Mapa final'!$AA$28="Mayor"),CONCATENATE("R7C",'Mapa final'!$O$28),"")</f>
        <v/>
      </c>
      <c r="AE42" s="58" t="str">
        <f>IF(AND('Mapa final'!$Y$29="Baja",'Mapa final'!$AA$29="Mayor"),CONCATENATE("R7C",'Mapa final'!$O$29),"")</f>
        <v/>
      </c>
      <c r="AF42" s="58" t="str">
        <f>IF(AND('Mapa final'!$Y$30="Baja",'Mapa final'!$AA$30="Mayor"),CONCATENATE("R7C",'Mapa final'!$O$30),"")</f>
        <v/>
      </c>
      <c r="AG42" s="54" t="str">
        <f>IF(AND('Mapa final'!$Y$31="Baja",'Mapa final'!$AA$31="Mayor"),CONCATENATE("R7C",'Mapa final'!$O$31),"")</f>
        <v/>
      </c>
      <c r="AH42" s="55" t="str">
        <f>IF(AND('Mapa final'!$Y$26="Baja",'Mapa final'!$AA$26="Catastrófico"),CONCATENATE("R7C",'Mapa final'!$O$26),"")</f>
        <v/>
      </c>
      <c r="AI42" s="56" t="str">
        <f>IF(AND('Mapa final'!$Y$27="Baja",'Mapa final'!$AA$27="Catastrófico"),CONCATENATE("R7C",'Mapa final'!$O$27),"")</f>
        <v/>
      </c>
      <c r="AJ42" s="56" t="str">
        <f>IF(AND('Mapa final'!$Y$28="Baja",'Mapa final'!$AA$28="Catastrófico"),CONCATENATE("R7C",'Mapa final'!$O$28),"")</f>
        <v/>
      </c>
      <c r="AK42" s="56" t="str">
        <f>IF(AND('Mapa final'!$Y$29="Baja",'Mapa final'!$AA$29="Catastrófico"),CONCATENATE("R7C",'Mapa final'!$O$29),"")</f>
        <v/>
      </c>
      <c r="AL42" s="56" t="str">
        <f>IF(AND('Mapa final'!$Y$30="Baja",'Mapa final'!$AA$30="Catastrófico"),CONCATENATE("R7C",'Mapa final'!$O$30),"")</f>
        <v/>
      </c>
      <c r="AM42" s="57" t="str">
        <f>IF(AND('Mapa final'!$Y$31="Baja",'Mapa final'!$AA$31="Catastrófico"),CONCATENATE("R7C",'Mapa final'!$O$31),"")</f>
        <v/>
      </c>
      <c r="AN42" s="84"/>
      <c r="AO42" s="398"/>
      <c r="AP42" s="399"/>
      <c r="AQ42" s="399"/>
      <c r="AR42" s="399"/>
      <c r="AS42" s="399"/>
      <c r="AT42" s="400"/>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45">
      <c r="A43" s="84"/>
      <c r="B43" s="276"/>
      <c r="C43" s="276"/>
      <c r="D43" s="277"/>
      <c r="E43" s="377"/>
      <c r="F43" s="378"/>
      <c r="G43" s="378"/>
      <c r="H43" s="378"/>
      <c r="I43" s="376"/>
      <c r="J43" s="77" t="str">
        <f>IF(AND('Mapa final'!$Y$32="Baja",'Mapa final'!$AA$32="Leve"),CONCATENATE("R8C",'Mapa final'!$O$32),"")</f>
        <v/>
      </c>
      <c r="K43" s="78" t="str">
        <f>IF(AND('Mapa final'!$Y$33="Baja",'Mapa final'!$AA$33="Leve"),CONCATENATE("R8C",'Mapa final'!$O$33),"")</f>
        <v/>
      </c>
      <c r="L43" s="78" t="str">
        <f>IF(AND('Mapa final'!$Y$34="Baja",'Mapa final'!$AA$34="Leve"),CONCATENATE("R8C",'Mapa final'!$O$34),"")</f>
        <v/>
      </c>
      <c r="M43" s="78" t="str">
        <f>IF(AND('Mapa final'!$Y$35="Baja",'Mapa final'!$AA$35="Leve"),CONCATENATE("R8C",'Mapa final'!$O$35),"")</f>
        <v/>
      </c>
      <c r="N43" s="78" t="str">
        <f>IF(AND('Mapa final'!$Y$36="Baja",'Mapa final'!$AA$36="Leve"),CONCATENATE("R8C",'Mapa final'!$O$36),"")</f>
        <v/>
      </c>
      <c r="O43" s="79" t="str">
        <f>IF(AND('Mapa final'!$Y$37="Baja",'Mapa final'!$AA$37="Leve"),CONCATENATE("R8C",'Mapa final'!$O$37),"")</f>
        <v/>
      </c>
      <c r="P43" s="68" t="str">
        <f>IF(AND('Mapa final'!$Y$32="Baja",'Mapa final'!$AA$32="Menor"),CONCATENATE("R8C",'Mapa final'!$O$32),"")</f>
        <v/>
      </c>
      <c r="Q43" s="69" t="str">
        <f>IF(AND('Mapa final'!$Y$33="Baja",'Mapa final'!$AA$33="Menor"),CONCATENATE("R8C",'Mapa final'!$O$33),"")</f>
        <v/>
      </c>
      <c r="R43" s="69" t="str">
        <f>IF(AND('Mapa final'!$Y$34="Baja",'Mapa final'!$AA$34="Menor"),CONCATENATE("R8C",'Mapa final'!$O$34),"")</f>
        <v/>
      </c>
      <c r="S43" s="69" t="str">
        <f>IF(AND('Mapa final'!$Y$35="Baja",'Mapa final'!$AA$35="Menor"),CONCATENATE("R8C",'Mapa final'!$O$35),"")</f>
        <v/>
      </c>
      <c r="T43" s="69" t="str">
        <f>IF(AND('Mapa final'!$Y$36="Baja",'Mapa final'!$AA$36="Menor"),CONCATENATE("R8C",'Mapa final'!$O$36),"")</f>
        <v/>
      </c>
      <c r="U43" s="70" t="str">
        <f>IF(AND('Mapa final'!$Y$37="Baja",'Mapa final'!$AA$37="Menor"),CONCATENATE("R8C",'Mapa final'!$O$37),"")</f>
        <v/>
      </c>
      <c r="V43" s="68" t="str">
        <f>IF(AND('Mapa final'!$Y$32="Baja",'Mapa final'!$AA$32="Moderado"),CONCATENATE("R8C",'Mapa final'!$O$32),"")</f>
        <v/>
      </c>
      <c r="W43" s="69" t="str">
        <f>IF(AND('Mapa final'!$Y$33="Baja",'Mapa final'!$AA$33="Moderado"),CONCATENATE("R8C",'Mapa final'!$O$33),"")</f>
        <v/>
      </c>
      <c r="X43" s="69" t="str">
        <f>IF(AND('Mapa final'!$Y$34="Baja",'Mapa final'!$AA$34="Moderado"),CONCATENATE("R8C",'Mapa final'!$O$34),"")</f>
        <v/>
      </c>
      <c r="Y43" s="69" t="str">
        <f>IF(AND('Mapa final'!$Y$35="Baja",'Mapa final'!$AA$35="Moderado"),CONCATENATE("R8C",'Mapa final'!$O$35),"")</f>
        <v/>
      </c>
      <c r="Z43" s="69" t="str">
        <f>IF(AND('Mapa final'!$Y$36="Baja",'Mapa final'!$AA$36="Moderado"),CONCATENATE("R8C",'Mapa final'!$O$36),"")</f>
        <v/>
      </c>
      <c r="AA43" s="70" t="str">
        <f>IF(AND('Mapa final'!$Y$37="Baja",'Mapa final'!$AA$37="Moderado"),CONCATENATE("R8C",'Mapa final'!$O$37),"")</f>
        <v/>
      </c>
      <c r="AB43" s="52" t="str">
        <f>IF(AND('Mapa final'!$Y$32="Baja",'Mapa final'!$AA$32="Mayor"),CONCATENATE("R8C",'Mapa final'!$O$32),"")</f>
        <v/>
      </c>
      <c r="AC43" s="53" t="str">
        <f>IF(AND('Mapa final'!$Y$33="Baja",'Mapa final'!$AA$33="Mayor"),CONCATENATE("R8C",'Mapa final'!$O$33),"")</f>
        <v/>
      </c>
      <c r="AD43" s="58" t="str">
        <f>IF(AND('Mapa final'!$Y$34="Baja",'Mapa final'!$AA$34="Mayor"),CONCATENATE("R8C",'Mapa final'!$O$34),"")</f>
        <v/>
      </c>
      <c r="AE43" s="58" t="str">
        <f>IF(AND('Mapa final'!$Y$35="Baja",'Mapa final'!$AA$35="Mayor"),CONCATENATE("R8C",'Mapa final'!$O$35),"")</f>
        <v/>
      </c>
      <c r="AF43" s="58" t="str">
        <f>IF(AND('Mapa final'!$Y$36="Baja",'Mapa final'!$AA$36="Mayor"),CONCATENATE("R8C",'Mapa final'!$O$36),"")</f>
        <v/>
      </c>
      <c r="AG43" s="54" t="str">
        <f>IF(AND('Mapa final'!$Y$37="Baja",'Mapa final'!$AA$37="Mayor"),CONCATENATE("R8C",'Mapa final'!$O$37),"")</f>
        <v/>
      </c>
      <c r="AH43" s="55" t="str">
        <f>IF(AND('Mapa final'!$Y$32="Baja",'Mapa final'!$AA$32="Catastrófico"),CONCATENATE("R8C",'Mapa final'!$O$32),"")</f>
        <v/>
      </c>
      <c r="AI43" s="56" t="str">
        <f>IF(AND('Mapa final'!$Y$33="Baja",'Mapa final'!$AA$33="Catastrófico"),CONCATENATE("R8C",'Mapa final'!$O$33),"")</f>
        <v/>
      </c>
      <c r="AJ43" s="56" t="str">
        <f>IF(AND('Mapa final'!$Y$34="Baja",'Mapa final'!$AA$34="Catastrófico"),CONCATENATE("R8C",'Mapa final'!$O$34),"")</f>
        <v/>
      </c>
      <c r="AK43" s="56" t="str">
        <f>IF(AND('Mapa final'!$Y$35="Baja",'Mapa final'!$AA$35="Catastrófico"),CONCATENATE("R8C",'Mapa final'!$O$35),"")</f>
        <v/>
      </c>
      <c r="AL43" s="56" t="str">
        <f>IF(AND('Mapa final'!$Y$36="Baja",'Mapa final'!$AA$36="Catastrófico"),CONCATENATE("R8C",'Mapa final'!$O$36),"")</f>
        <v/>
      </c>
      <c r="AM43" s="57" t="str">
        <f>IF(AND('Mapa final'!$Y$37="Baja",'Mapa final'!$AA$37="Catastrófico"),CONCATENATE("R8C",'Mapa final'!$O$37),"")</f>
        <v/>
      </c>
      <c r="AN43" s="84"/>
      <c r="AO43" s="398"/>
      <c r="AP43" s="399"/>
      <c r="AQ43" s="399"/>
      <c r="AR43" s="399"/>
      <c r="AS43" s="399"/>
      <c r="AT43" s="400"/>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45">
      <c r="A44" s="84"/>
      <c r="B44" s="276"/>
      <c r="C44" s="276"/>
      <c r="D44" s="277"/>
      <c r="E44" s="377"/>
      <c r="F44" s="378"/>
      <c r="G44" s="378"/>
      <c r="H44" s="378"/>
      <c r="I44" s="376"/>
      <c r="J44" s="77" t="str">
        <f>IF(AND('Mapa final'!$Y$38="Baja",'Mapa final'!$AA$38="Leve"),CONCATENATE("R9C",'Mapa final'!$O$38),"")</f>
        <v/>
      </c>
      <c r="K44" s="78" t="str">
        <f>IF(AND('Mapa final'!$Y$39="Baja",'Mapa final'!$AA$39="Leve"),CONCATENATE("R9C",'Mapa final'!$O$39),"")</f>
        <v/>
      </c>
      <c r="L44" s="78" t="str">
        <f>IF(AND('Mapa final'!$Y$40="Baja",'Mapa final'!$AA$40="Leve"),CONCATENATE("R9C",'Mapa final'!$O$40),"")</f>
        <v/>
      </c>
      <c r="M44" s="78" t="str">
        <f>IF(AND('Mapa final'!$Y$41="Baja",'Mapa final'!$AA$41="Leve"),CONCATENATE("R9C",'Mapa final'!$O$41),"")</f>
        <v/>
      </c>
      <c r="N44" s="78" t="str">
        <f>IF(AND('Mapa final'!$Y$42="Baja",'Mapa final'!$AA$42="Leve"),CONCATENATE("R9C",'Mapa final'!$O$42),"")</f>
        <v/>
      </c>
      <c r="O44" s="79" t="str">
        <f>IF(AND('Mapa final'!$Y$43="Baja",'Mapa final'!$AA$43="Leve"),CONCATENATE("R9C",'Mapa final'!$O$43),"")</f>
        <v/>
      </c>
      <c r="P44" s="68" t="str">
        <f>IF(AND('Mapa final'!$Y$38="Baja",'Mapa final'!$AA$38="Menor"),CONCATENATE("R9C",'Mapa final'!$O$38),"")</f>
        <v/>
      </c>
      <c r="Q44" s="69" t="str">
        <f>IF(AND('Mapa final'!$Y$39="Baja",'Mapa final'!$AA$39="Menor"),CONCATENATE("R9C",'Mapa final'!$O$39),"")</f>
        <v/>
      </c>
      <c r="R44" s="69" t="str">
        <f>IF(AND('Mapa final'!$Y$40="Baja",'Mapa final'!$AA$40="Menor"),CONCATENATE("R9C",'Mapa final'!$O$40),"")</f>
        <v/>
      </c>
      <c r="S44" s="69" t="str">
        <f>IF(AND('Mapa final'!$Y$41="Baja",'Mapa final'!$AA$41="Menor"),CONCATENATE("R9C",'Mapa final'!$O$41),"")</f>
        <v/>
      </c>
      <c r="T44" s="69" t="str">
        <f>IF(AND('Mapa final'!$Y$42="Baja",'Mapa final'!$AA$42="Menor"),CONCATENATE("R9C",'Mapa final'!$O$42),"")</f>
        <v/>
      </c>
      <c r="U44" s="70" t="str">
        <f>IF(AND('Mapa final'!$Y$43="Baja",'Mapa final'!$AA$43="Menor"),CONCATENATE("R9C",'Mapa final'!$O$43),"")</f>
        <v/>
      </c>
      <c r="V44" s="68" t="str">
        <f>IF(AND('Mapa final'!$Y$38="Baja",'Mapa final'!$AA$38="Moderado"),CONCATENATE("R9C",'Mapa final'!$O$38),"")</f>
        <v/>
      </c>
      <c r="W44" s="69" t="str">
        <f>IF(AND('Mapa final'!$Y$39="Baja",'Mapa final'!$AA$39="Moderado"),CONCATENATE("R9C",'Mapa final'!$O$39),"")</f>
        <v/>
      </c>
      <c r="X44" s="69" t="str">
        <f>IF(AND('Mapa final'!$Y$40="Baja",'Mapa final'!$AA$40="Moderado"),CONCATENATE("R9C",'Mapa final'!$O$40),"")</f>
        <v/>
      </c>
      <c r="Y44" s="69" t="str">
        <f>IF(AND('Mapa final'!$Y$41="Baja",'Mapa final'!$AA$41="Moderado"),CONCATENATE("R9C",'Mapa final'!$O$41),"")</f>
        <v/>
      </c>
      <c r="Z44" s="69" t="str">
        <f>IF(AND('Mapa final'!$Y$42="Baja",'Mapa final'!$AA$42="Moderado"),CONCATENATE("R9C",'Mapa final'!$O$42),"")</f>
        <v/>
      </c>
      <c r="AA44" s="70" t="str">
        <f>IF(AND('Mapa final'!$Y$43="Baja",'Mapa final'!$AA$43="Moderado"),CONCATENATE("R9C",'Mapa final'!$O$43),"")</f>
        <v/>
      </c>
      <c r="AB44" s="52" t="str">
        <f>IF(AND('Mapa final'!$Y$38="Baja",'Mapa final'!$AA$38="Mayor"),CONCATENATE("R9C",'Mapa final'!$O$38),"")</f>
        <v/>
      </c>
      <c r="AC44" s="53" t="str">
        <f>IF(AND('Mapa final'!$Y$39="Baja",'Mapa final'!$AA$39="Mayor"),CONCATENATE("R9C",'Mapa final'!$O$39),"")</f>
        <v/>
      </c>
      <c r="AD44" s="58" t="str">
        <f>IF(AND('Mapa final'!$Y$40="Baja",'Mapa final'!$AA$40="Mayor"),CONCATENATE("R9C",'Mapa final'!$O$40),"")</f>
        <v/>
      </c>
      <c r="AE44" s="58" t="str">
        <f>IF(AND('Mapa final'!$Y$41="Baja",'Mapa final'!$AA$41="Mayor"),CONCATENATE("R9C",'Mapa final'!$O$41),"")</f>
        <v/>
      </c>
      <c r="AF44" s="58" t="str">
        <f>IF(AND('Mapa final'!$Y$42="Baja",'Mapa final'!$AA$42="Mayor"),CONCATENATE("R9C",'Mapa final'!$O$42),"")</f>
        <v/>
      </c>
      <c r="AG44" s="54" t="str">
        <f>IF(AND('Mapa final'!$Y$43="Baja",'Mapa final'!$AA$43="Mayor"),CONCATENATE("R9C",'Mapa final'!$O$43),"")</f>
        <v/>
      </c>
      <c r="AH44" s="55" t="str">
        <f>IF(AND('Mapa final'!$Y$38="Baja",'Mapa final'!$AA$38="Catastrófico"),CONCATENATE("R9C",'Mapa final'!$O$38),"")</f>
        <v/>
      </c>
      <c r="AI44" s="56" t="str">
        <f>IF(AND('Mapa final'!$Y$39="Baja",'Mapa final'!$AA$39="Catastrófico"),CONCATENATE("R9C",'Mapa final'!$O$39),"")</f>
        <v/>
      </c>
      <c r="AJ44" s="56" t="str">
        <f>IF(AND('Mapa final'!$Y$40="Baja",'Mapa final'!$AA$40="Catastrófico"),CONCATENATE("R9C",'Mapa final'!$O$40),"")</f>
        <v/>
      </c>
      <c r="AK44" s="56" t="str">
        <f>IF(AND('Mapa final'!$Y$41="Baja",'Mapa final'!$AA$41="Catastrófico"),CONCATENATE("R9C",'Mapa final'!$O$41),"")</f>
        <v/>
      </c>
      <c r="AL44" s="56" t="str">
        <f>IF(AND('Mapa final'!$Y$42="Baja",'Mapa final'!$AA$42="Catastrófico"),CONCATENATE("R9C",'Mapa final'!$O$42),"")</f>
        <v/>
      </c>
      <c r="AM44" s="57" t="str">
        <f>IF(AND('Mapa final'!$Y$43="Baja",'Mapa final'!$AA$43="Catastrófico"),CONCATENATE("R9C",'Mapa final'!$O$43),"")</f>
        <v/>
      </c>
      <c r="AN44" s="84"/>
      <c r="AO44" s="398"/>
      <c r="AP44" s="399"/>
      <c r="AQ44" s="399"/>
      <c r="AR44" s="399"/>
      <c r="AS44" s="399"/>
      <c r="AT44" s="400"/>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5">
      <c r="A45" s="84"/>
      <c r="B45" s="276"/>
      <c r="C45" s="276"/>
      <c r="D45" s="277"/>
      <c r="E45" s="379"/>
      <c r="F45" s="380"/>
      <c r="G45" s="380"/>
      <c r="H45" s="380"/>
      <c r="I45" s="380"/>
      <c r="J45" s="80" t="str">
        <f>IF(AND('Mapa final'!$Y$44="Baja",'Mapa final'!$AA$44="Leve"),CONCATENATE("R10C",'Mapa final'!$O$44),"")</f>
        <v/>
      </c>
      <c r="K45" s="81" t="str">
        <f>IF(AND('Mapa final'!$Y$45="Baja",'Mapa final'!$AA$45="Leve"),CONCATENATE("R10C",'Mapa final'!$O$45),"")</f>
        <v/>
      </c>
      <c r="L45" s="81" t="str">
        <f>IF(AND('Mapa final'!$Y$46="Baja",'Mapa final'!$AA$46="Leve"),CONCATENATE("R10C",'Mapa final'!$O$46),"")</f>
        <v/>
      </c>
      <c r="M45" s="81" t="str">
        <f>IF(AND('Mapa final'!$Y$47="Baja",'Mapa final'!$AA$47="Leve"),CONCATENATE("R10C",'Mapa final'!$O$47),"")</f>
        <v/>
      </c>
      <c r="N45" s="81" t="str">
        <f>IF(AND('Mapa final'!$Y$48="Baja",'Mapa final'!$AA$48="Leve"),CONCATENATE("R10C",'Mapa final'!$O$48),"")</f>
        <v/>
      </c>
      <c r="O45" s="82" t="str">
        <f>IF(AND('Mapa final'!$Y$49="Baja",'Mapa final'!$AA$49="Leve"),CONCATENATE("R10C",'Mapa final'!$O$49),"")</f>
        <v/>
      </c>
      <c r="P45" s="68" t="str">
        <f>IF(AND('Mapa final'!$Y$44="Baja",'Mapa final'!$AA$44="Menor"),CONCATENATE("R10C",'Mapa final'!$O$44),"")</f>
        <v/>
      </c>
      <c r="Q45" s="69" t="str">
        <f>IF(AND('Mapa final'!$Y$45="Baja",'Mapa final'!$AA$45="Menor"),CONCATENATE("R10C",'Mapa final'!$O$45),"")</f>
        <v/>
      </c>
      <c r="R45" s="69" t="str">
        <f>IF(AND('Mapa final'!$Y$46="Baja",'Mapa final'!$AA$46="Menor"),CONCATENATE("R10C",'Mapa final'!$O$46),"")</f>
        <v/>
      </c>
      <c r="S45" s="69" t="str">
        <f>IF(AND('Mapa final'!$Y$47="Baja",'Mapa final'!$AA$47="Menor"),CONCATENATE("R10C",'Mapa final'!$O$47),"")</f>
        <v/>
      </c>
      <c r="T45" s="69" t="str">
        <f>IF(AND('Mapa final'!$Y$48="Baja",'Mapa final'!$AA$48="Menor"),CONCATENATE("R10C",'Mapa final'!$O$48),"")</f>
        <v/>
      </c>
      <c r="U45" s="70" t="str">
        <f>IF(AND('Mapa final'!$Y$49="Baja",'Mapa final'!$AA$49="Menor"),CONCATENATE("R10C",'Mapa final'!$O$49),"")</f>
        <v/>
      </c>
      <c r="V45" s="71" t="str">
        <f>IF(AND('Mapa final'!$Y$44="Baja",'Mapa final'!$AA$44="Moderado"),CONCATENATE("R10C",'Mapa final'!$O$44),"")</f>
        <v/>
      </c>
      <c r="W45" s="72" t="str">
        <f>IF(AND('Mapa final'!$Y$45="Baja",'Mapa final'!$AA$45="Moderado"),CONCATENATE("R10C",'Mapa final'!$O$45),"")</f>
        <v/>
      </c>
      <c r="X45" s="72" t="str">
        <f>IF(AND('Mapa final'!$Y$46="Baja",'Mapa final'!$AA$46="Moderado"),CONCATENATE("R10C",'Mapa final'!$O$46),"")</f>
        <v/>
      </c>
      <c r="Y45" s="72" t="str">
        <f>IF(AND('Mapa final'!$Y$47="Baja",'Mapa final'!$AA$47="Moderado"),CONCATENATE("R10C",'Mapa final'!$O$47),"")</f>
        <v/>
      </c>
      <c r="Z45" s="72" t="str">
        <f>IF(AND('Mapa final'!$Y$48="Baja",'Mapa final'!$AA$48="Moderado"),CONCATENATE("R10C",'Mapa final'!$O$48),"")</f>
        <v/>
      </c>
      <c r="AA45" s="73" t="str">
        <f>IF(AND('Mapa final'!$Y$49="Baja",'Mapa final'!$AA$49="Moderado"),CONCATENATE("R10C",'Mapa final'!$O$49),"")</f>
        <v/>
      </c>
      <c r="AB45" s="59" t="str">
        <f>IF(AND('Mapa final'!$Y$44="Baja",'Mapa final'!$AA$44="Mayor"),CONCATENATE("R10C",'Mapa final'!$O$44),"")</f>
        <v/>
      </c>
      <c r="AC45" s="60" t="str">
        <f>IF(AND('Mapa final'!$Y$45="Baja",'Mapa final'!$AA$45="Mayor"),CONCATENATE("R10C",'Mapa final'!$O$45),"")</f>
        <v/>
      </c>
      <c r="AD45" s="60" t="str">
        <f>IF(AND('Mapa final'!$Y$46="Baja",'Mapa final'!$AA$46="Mayor"),CONCATENATE("R10C",'Mapa final'!$O$46),"")</f>
        <v/>
      </c>
      <c r="AE45" s="60" t="str">
        <f>IF(AND('Mapa final'!$Y$47="Baja",'Mapa final'!$AA$47="Mayor"),CONCATENATE("R10C",'Mapa final'!$O$47),"")</f>
        <v/>
      </c>
      <c r="AF45" s="60" t="str">
        <f>IF(AND('Mapa final'!$Y$48="Baja",'Mapa final'!$AA$48="Mayor"),CONCATENATE("R10C",'Mapa final'!$O$48),"")</f>
        <v/>
      </c>
      <c r="AG45" s="61" t="str">
        <f>IF(AND('Mapa final'!$Y$49="Baja",'Mapa final'!$AA$49="Mayor"),CONCATENATE("R10C",'Mapa final'!$O$49),"")</f>
        <v/>
      </c>
      <c r="AH45" s="62" t="str">
        <f>IF(AND('Mapa final'!$Y$44="Baja",'Mapa final'!$AA$44="Catastrófico"),CONCATENATE("R10C",'Mapa final'!$O$44),"")</f>
        <v/>
      </c>
      <c r="AI45" s="63" t="str">
        <f>IF(AND('Mapa final'!$Y$45="Baja",'Mapa final'!$AA$45="Catastrófico"),CONCATENATE("R10C",'Mapa final'!$O$45),"")</f>
        <v/>
      </c>
      <c r="AJ45" s="63" t="str">
        <f>IF(AND('Mapa final'!$Y$46="Baja",'Mapa final'!$AA$46="Catastrófico"),CONCATENATE("R10C",'Mapa final'!$O$46),"")</f>
        <v/>
      </c>
      <c r="AK45" s="63" t="str">
        <f>IF(AND('Mapa final'!$Y$47="Baja",'Mapa final'!$AA$47="Catastrófico"),CONCATENATE("R10C",'Mapa final'!$O$47),"")</f>
        <v/>
      </c>
      <c r="AL45" s="63" t="str">
        <f>IF(AND('Mapa final'!$Y$48="Baja",'Mapa final'!$AA$48="Catastrófico"),CONCATENATE("R10C",'Mapa final'!$O$48),"")</f>
        <v/>
      </c>
      <c r="AM45" s="64" t="str">
        <f>IF(AND('Mapa final'!$Y$49="Baja",'Mapa final'!$AA$49="Catastrófico"),CONCATENATE("R10C",'Mapa final'!$O$49),"")</f>
        <v/>
      </c>
      <c r="AN45" s="84"/>
      <c r="AO45" s="401"/>
      <c r="AP45" s="402"/>
      <c r="AQ45" s="402"/>
      <c r="AR45" s="402"/>
      <c r="AS45" s="402"/>
      <c r="AT45" s="403"/>
    </row>
    <row r="46" spans="1:80" ht="46.5" customHeight="1" x14ac:dyDescent="0.6">
      <c r="A46" s="84"/>
      <c r="B46" s="276"/>
      <c r="C46" s="276"/>
      <c r="D46" s="277"/>
      <c r="E46" s="373" t="s">
        <v>113</v>
      </c>
      <c r="F46" s="374"/>
      <c r="G46" s="374"/>
      <c r="H46" s="374"/>
      <c r="I46" s="392"/>
      <c r="J46" s="74" t="str">
        <f>IF(AND('Mapa final'!$Y$10="Muy Baja",'Mapa final'!$AA$10="Leve"),CONCATENATE("R1C",'Mapa final'!$O$10),"")</f>
        <v/>
      </c>
      <c r="K46" s="75" t="e">
        <f>IF(AND('Mapa final'!#REF!="Muy Baja",'Mapa final'!#REF!="Leve"),CONCATENATE("R1C",'Mapa final'!#REF!),"")</f>
        <v>#REF!</v>
      </c>
      <c r="L46" s="75" t="e">
        <f>IF(AND('Mapa final'!#REF!="Muy Baja",'Mapa final'!#REF!="Leve"),CONCATENATE("R1C",'Mapa final'!#REF!),"")</f>
        <v>#REF!</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IF(AND('Mapa final'!$Y$10="Muy Baja",'Mapa final'!$AA$10="Menor"),CONCATENATE("R1C",'Mapa final'!$O$10),"")</f>
        <v/>
      </c>
      <c r="Q46" s="75" t="e">
        <f>IF(AND('Mapa final'!#REF!="Muy Baja",'Mapa final'!#REF!="Menor"),CONCATENATE("R1C",'Mapa final'!#REF!),"")</f>
        <v>#REF!</v>
      </c>
      <c r="R46" s="75" t="e">
        <f>IF(AND('Mapa final'!#REF!="Muy Baja",'Mapa final'!#REF!="Menor"),CONCATENATE("R1C",'Mapa final'!#REF!),"")</f>
        <v>#REF!</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IF(AND('Mapa final'!$Y$10="Muy Baja",'Mapa final'!$AA$10="Moderado"),CONCATENATE("R1C",'Mapa final'!$O$10),"")</f>
        <v/>
      </c>
      <c r="W46" s="83" t="e">
        <f>IF(AND('Mapa final'!#REF!="Muy Baja",'Mapa final'!#REF!="Moderado"),CONCATENATE("R1C",'Mapa final'!#REF!),"")</f>
        <v>#REF!</v>
      </c>
      <c r="X46" s="66" t="e">
        <f>IF(AND('Mapa final'!#REF!="Muy Baja",'Mapa final'!#REF!="Moderado"),CONCATENATE("R1C",'Mapa final'!#REF!),"")</f>
        <v>#REF!</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45">
      <c r="A47" s="84"/>
      <c r="B47" s="276"/>
      <c r="C47" s="276"/>
      <c r="D47" s="277"/>
      <c r="E47" s="375"/>
      <c r="F47" s="376"/>
      <c r="G47" s="376"/>
      <c r="H47" s="376"/>
      <c r="I47" s="393"/>
      <c r="J47" s="77" t="str">
        <f>IF(AND('Mapa final'!$Y$11="Muy Baja",'Mapa final'!$AA$11="Leve"),CONCATENATE("R2C",'Mapa final'!$O$11),"")</f>
        <v/>
      </c>
      <c r="K47" s="78" t="e">
        <f>IF(AND('Mapa final'!#REF!="Muy Baja",'Mapa final'!#REF!="Leve"),CONCATENATE("R2C",'Mapa final'!#REF!),"")</f>
        <v>#REF!</v>
      </c>
      <c r="L47" s="78" t="e">
        <f>IF(AND('Mapa final'!#REF!="Muy Baja",'Mapa final'!#REF!="Leve"),CONCATENATE("R2C",'Mapa final'!#REF!),"")</f>
        <v>#REF!</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str">
        <f>IF(AND('Mapa final'!$Y$11="Muy Baja",'Mapa final'!$AA$11="Menor"),CONCATENATE("R2C",'Mapa final'!$O$11),"")</f>
        <v/>
      </c>
      <c r="Q47" s="78" t="e">
        <f>IF(AND('Mapa final'!#REF!="Muy Baja",'Mapa final'!#REF!="Menor"),CONCATENATE("R2C",'Mapa final'!#REF!),"")</f>
        <v>#REF!</v>
      </c>
      <c r="R47" s="78" t="e">
        <f>IF(AND('Mapa final'!#REF!="Muy Baja",'Mapa final'!#REF!="Menor"),CONCATENATE("R2C",'Mapa final'!#REF!),"")</f>
        <v>#REF!</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str">
        <f>IF(AND('Mapa final'!$Y$11="Muy Baja",'Mapa final'!$AA$11="Moderado"),CONCATENATE("R2C",'Mapa final'!$O$11),"")</f>
        <v/>
      </c>
      <c r="W47" s="69" t="e">
        <f>IF(AND('Mapa final'!#REF!="Muy Baja",'Mapa final'!#REF!="Moderado"),CONCATENATE("R2C",'Mapa final'!#REF!),"")</f>
        <v>#REF!</v>
      </c>
      <c r="X47" s="69" t="e">
        <f>IF(AND('Mapa final'!#REF!="Muy Baja",'Mapa final'!#REF!="Moderado"),CONCATENATE("R2C",'Mapa final'!#REF!),"")</f>
        <v>#REF!</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45">
      <c r="A48" s="84"/>
      <c r="B48" s="276"/>
      <c r="C48" s="276"/>
      <c r="D48" s="277"/>
      <c r="E48" s="375"/>
      <c r="F48" s="376"/>
      <c r="G48" s="376"/>
      <c r="H48" s="376"/>
      <c r="I48" s="393"/>
      <c r="J48" s="77" t="e">
        <f>IF(AND('Mapa final'!#REF!="Muy Baja",'Mapa final'!#REF!="Leve"),CONCATENATE("R3C",'Mapa final'!#REF!),"")</f>
        <v>#REF!</v>
      </c>
      <c r="K48" s="78" t="str">
        <f>IF(AND('Mapa final'!$Y$12="Muy Baja",'Mapa final'!$AA$12="Leve"),CONCATENATE("R3C",'Mapa final'!$O$12),"")</f>
        <v/>
      </c>
      <c r="L48" s="78" t="e">
        <f>IF(AND('Mapa final'!#REF!="Muy Baja",'Mapa final'!#REF!="Leve"),CONCATENATE("R3C",'Mapa final'!#REF!),"")</f>
        <v>#REF!</v>
      </c>
      <c r="M48" s="78" t="e">
        <f>IF(AND('Mapa final'!#REF!="Muy Baja",'Mapa final'!#REF!="Leve"),CONCATENATE("R3C",'Mapa final'!#REF!),"")</f>
        <v>#REF!</v>
      </c>
      <c r="N48" s="78" t="e">
        <f>IF(AND('Mapa final'!#REF!="Muy Baja",'Mapa final'!#REF!="Leve"),CONCATENATE("R3C",'Mapa final'!#REF!),"")</f>
        <v>#REF!</v>
      </c>
      <c r="O48" s="79" t="e">
        <f>IF(AND('Mapa final'!#REF!="Muy Baja",'Mapa final'!#REF!="Leve"),CONCATENATE("R3C",'Mapa final'!#REF!),"")</f>
        <v>#REF!</v>
      </c>
      <c r="P48" s="77" t="e">
        <f>IF(AND('Mapa final'!#REF!="Muy Baja",'Mapa final'!#REF!="Menor"),CONCATENATE("R3C",'Mapa final'!#REF!),"")</f>
        <v>#REF!</v>
      </c>
      <c r="Q48" s="78" t="str">
        <f>IF(AND('Mapa final'!$Y$12="Muy Baja",'Mapa final'!$AA$12="Menor"),CONCATENATE("R3C",'Mapa final'!$O$12),"")</f>
        <v/>
      </c>
      <c r="R48" s="78" t="e">
        <f>IF(AND('Mapa final'!#REF!="Muy Baja",'Mapa final'!#REF!="Menor"),CONCATENATE("R3C",'Mapa final'!#REF!),"")</f>
        <v>#REF!</v>
      </c>
      <c r="S48" s="78" t="e">
        <f>IF(AND('Mapa final'!#REF!="Muy Baja",'Mapa final'!#REF!="Menor"),CONCATENATE("R3C",'Mapa final'!#REF!),"")</f>
        <v>#REF!</v>
      </c>
      <c r="T48" s="78" t="e">
        <f>IF(AND('Mapa final'!#REF!="Muy Baja",'Mapa final'!#REF!="Menor"),CONCATENATE("R3C",'Mapa final'!#REF!),"")</f>
        <v>#REF!</v>
      </c>
      <c r="U48" s="79" t="e">
        <f>IF(AND('Mapa final'!#REF!="Muy Baja",'Mapa final'!#REF!="Menor"),CONCATENATE("R3C",'Mapa final'!#REF!),"")</f>
        <v>#REF!</v>
      </c>
      <c r="V48" s="68" t="e">
        <f>IF(AND('Mapa final'!#REF!="Muy Baja",'Mapa final'!#REF!="Moderado"),CONCATENATE("R3C",'Mapa final'!#REF!),"")</f>
        <v>#REF!</v>
      </c>
      <c r="W48" s="69" t="str">
        <f>IF(AND('Mapa final'!$Y$12="Muy Baja",'Mapa final'!$AA$12="Moderado"),CONCATENATE("R3C",'Mapa final'!$O$12),"")</f>
        <v/>
      </c>
      <c r="X48" s="69" t="e">
        <f>IF(AND('Mapa final'!#REF!="Muy Baja",'Mapa final'!#REF!="Moderado"),CONCATENATE("R3C",'Mapa final'!#REF!),"")</f>
        <v>#REF!</v>
      </c>
      <c r="Y48" s="69" t="e">
        <f>IF(AND('Mapa final'!#REF!="Muy Baja",'Mapa final'!#REF!="Moderado"),CONCATENATE("R3C",'Mapa final'!#REF!),"")</f>
        <v>#REF!</v>
      </c>
      <c r="Z48" s="69" t="e">
        <f>IF(AND('Mapa final'!#REF!="Muy Baja",'Mapa final'!#REF!="Moderado"),CONCATENATE("R3C",'Mapa final'!#REF!),"")</f>
        <v>#REF!</v>
      </c>
      <c r="AA48" s="70" t="e">
        <f>IF(AND('Mapa final'!#REF!="Muy Baja",'Mapa final'!#REF!="Moderado"),CONCATENATE("R3C",'Mapa final'!#REF!),"")</f>
        <v>#REF!</v>
      </c>
      <c r="AB48" s="52" t="e">
        <f>IF(AND('Mapa final'!#REF!="Muy Baja",'Mapa final'!#REF!="Mayor"),CONCATENATE("R3C",'Mapa final'!#REF!),"")</f>
        <v>#REF!</v>
      </c>
      <c r="AC48" s="53" t="str">
        <f>IF(AND('Mapa final'!$Y$12="Muy Baja",'Mapa final'!$AA$12="Mayor"),CONCATENATE("R3C",'Mapa final'!$O$12),"")</f>
        <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e">
        <f>IF(AND('Mapa final'!#REF!="Muy Baja",'Mapa final'!#REF!="Catastrófico"),CONCATENATE("R3C",'Mapa final'!#REF!),"")</f>
        <v>#REF!</v>
      </c>
      <c r="AI48" s="56" t="str">
        <f>IF(AND('Mapa final'!$Y$12="Muy Baja",'Mapa final'!$AA$12="Catastrófico"),CONCATENATE("R3C",'Mapa final'!$O$12),"")</f>
        <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45">
      <c r="A49" s="84"/>
      <c r="B49" s="276"/>
      <c r="C49" s="276"/>
      <c r="D49" s="277"/>
      <c r="E49" s="377"/>
      <c r="F49" s="378"/>
      <c r="G49" s="378"/>
      <c r="H49" s="378"/>
      <c r="I49" s="393"/>
      <c r="J49" s="77" t="str">
        <f>IF(AND('Mapa final'!$Y$13="Muy Baja",'Mapa final'!$AA$13="Leve"),CONCATENATE("R4C",'Mapa final'!$O$13),"")</f>
        <v/>
      </c>
      <c r="K49" s="78" t="e">
        <f>IF(AND('Mapa final'!#REF!="Muy Baja",'Mapa final'!#REF!="Leve"),CONCATENATE("R4C",'Mapa final'!#REF!),"")</f>
        <v>#REF!</v>
      </c>
      <c r="L49" s="78" t="e">
        <f>IF(AND('Mapa final'!#REF!="Muy Baja",'Mapa final'!#REF!="Leve"),CONCATENATE("R4C",'Mapa final'!#REF!),"")</f>
        <v>#REF!</v>
      </c>
      <c r="M49" s="78" t="e">
        <f>IF(AND('Mapa final'!#REF!="Muy Baja",'Mapa final'!#REF!="Leve"),CONCATENATE("R4C",'Mapa final'!#REF!),"")</f>
        <v>#REF!</v>
      </c>
      <c r="N49" s="78" t="e">
        <f>IF(AND('Mapa final'!#REF!="Muy Baja",'Mapa final'!#REF!="Leve"),CONCATENATE("R4C",'Mapa final'!#REF!),"")</f>
        <v>#REF!</v>
      </c>
      <c r="O49" s="79" t="e">
        <f>IF(AND('Mapa final'!#REF!="Muy Baja",'Mapa final'!#REF!="Leve"),CONCATENATE("R4C",'Mapa final'!#REF!),"")</f>
        <v>#REF!</v>
      </c>
      <c r="P49" s="77" t="str">
        <f>IF(AND('Mapa final'!$Y$13="Muy Baja",'Mapa final'!$AA$13="Menor"),CONCATENATE("R4C",'Mapa final'!$O$13),"")</f>
        <v/>
      </c>
      <c r="Q49" s="78" t="e">
        <f>IF(AND('Mapa final'!#REF!="Muy Baja",'Mapa final'!#REF!="Menor"),CONCATENATE("R4C",'Mapa final'!#REF!),"")</f>
        <v>#REF!</v>
      </c>
      <c r="R49" s="78" t="e">
        <f>IF(AND('Mapa final'!#REF!="Muy Baja",'Mapa final'!#REF!="Menor"),CONCATENATE("R4C",'Mapa final'!#REF!),"")</f>
        <v>#REF!</v>
      </c>
      <c r="S49" s="78" t="e">
        <f>IF(AND('Mapa final'!#REF!="Muy Baja",'Mapa final'!#REF!="Menor"),CONCATENATE("R4C",'Mapa final'!#REF!),"")</f>
        <v>#REF!</v>
      </c>
      <c r="T49" s="78" t="e">
        <f>IF(AND('Mapa final'!#REF!="Muy Baja",'Mapa final'!#REF!="Menor"),CONCATENATE("R4C",'Mapa final'!#REF!),"")</f>
        <v>#REF!</v>
      </c>
      <c r="U49" s="79" t="e">
        <f>IF(AND('Mapa final'!#REF!="Muy Baja",'Mapa final'!#REF!="Menor"),CONCATENATE("R4C",'Mapa final'!#REF!),"")</f>
        <v>#REF!</v>
      </c>
      <c r="V49" s="68" t="str">
        <f>IF(AND('Mapa final'!$Y$13="Muy Baja",'Mapa final'!$AA$13="Moderado"),CONCATENATE("R4C",'Mapa final'!$O$13),"")</f>
        <v/>
      </c>
      <c r="W49" s="69" t="e">
        <f>IF(AND('Mapa final'!#REF!="Muy Baja",'Mapa final'!#REF!="Moderado"),CONCATENATE("R4C",'Mapa final'!#REF!),"")</f>
        <v>#REF!</v>
      </c>
      <c r="X49" s="69" t="e">
        <f>IF(AND('Mapa final'!#REF!="Muy Baja",'Mapa final'!#REF!="Moderado"),CONCATENATE("R4C",'Mapa final'!#REF!),"")</f>
        <v>#REF!</v>
      </c>
      <c r="Y49" s="69" t="e">
        <f>IF(AND('Mapa final'!#REF!="Muy Baja",'Mapa final'!#REF!="Moderado"),CONCATENATE("R4C",'Mapa final'!#REF!),"")</f>
        <v>#REF!</v>
      </c>
      <c r="Z49" s="69" t="e">
        <f>IF(AND('Mapa final'!#REF!="Muy Baja",'Mapa final'!#REF!="Moderado"),CONCATENATE("R4C",'Mapa final'!#REF!),"")</f>
        <v>#REF!</v>
      </c>
      <c r="AA49" s="70" t="e">
        <f>IF(AND('Mapa final'!#REF!="Muy Baja",'Mapa final'!#REF!="Moderado"),CONCATENATE("R4C",'Mapa final'!#REF!),"")</f>
        <v>#REF!</v>
      </c>
      <c r="AB49" s="52" t="str">
        <f>IF(AND('Mapa final'!$Y$13="Muy Baja",'Mapa final'!$AA$13="Mayor"),CONCATENATE("R4C",'Mapa final'!$O$13),"")</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final'!$Y$13="Muy Baja",'Mapa final'!$AA$13="Catastrófico"),CONCATENATE("R4C",'Mapa final'!$O$13),"")</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45">
      <c r="A50" s="84"/>
      <c r="B50" s="276"/>
      <c r="C50" s="276"/>
      <c r="D50" s="277"/>
      <c r="E50" s="377"/>
      <c r="F50" s="378"/>
      <c r="G50" s="378"/>
      <c r="H50" s="378"/>
      <c r="I50" s="393"/>
      <c r="J50" s="77" t="str">
        <f>IF(AND('Mapa final'!$Y$14="Muy Baja",'Mapa final'!$AA$14="Leve"),CONCATENATE("R5C",'Mapa final'!$O$14),"")</f>
        <v/>
      </c>
      <c r="K50" s="78" t="str">
        <f>IF(AND('Mapa final'!$Y$15="Muy Baja",'Mapa final'!$AA$15="Leve"),CONCATENATE("R5C",'Mapa final'!$O$15),"")</f>
        <v/>
      </c>
      <c r="L50" s="78" t="str">
        <f>IF(AND('Mapa final'!$Y$16="Muy Baja",'Mapa final'!$AA$16="Leve"),CONCATENATE("R5C",'Mapa final'!$O$16),"")</f>
        <v/>
      </c>
      <c r="M50" s="78" t="str">
        <f>IF(AND('Mapa final'!$Y$17="Muy Baja",'Mapa final'!$AA$17="Leve"),CONCATENATE("R5C",'Mapa final'!$O$17),"")</f>
        <v/>
      </c>
      <c r="N50" s="78" t="str">
        <f>IF(AND('Mapa final'!$Y$18="Muy Baja",'Mapa final'!$AA$18="Leve"),CONCATENATE("R5C",'Mapa final'!$O$18),"")</f>
        <v/>
      </c>
      <c r="O50" s="79" t="str">
        <f>IF(AND('Mapa final'!$Y$19="Muy Baja",'Mapa final'!$AA$19="Leve"),CONCATENATE("R5C",'Mapa final'!$O$19),"")</f>
        <v/>
      </c>
      <c r="P50" s="77" t="str">
        <f>IF(AND('Mapa final'!$Y$14="Muy Baja",'Mapa final'!$AA$14="Menor"),CONCATENATE("R5C",'Mapa final'!$O$14),"")</f>
        <v/>
      </c>
      <c r="Q50" s="78" t="str">
        <f>IF(AND('Mapa final'!$Y$15="Muy Baja",'Mapa final'!$AA$15="Menor"),CONCATENATE("R5C",'Mapa final'!$O$15),"")</f>
        <v/>
      </c>
      <c r="R50" s="78" t="str">
        <f>IF(AND('Mapa final'!$Y$16="Muy Baja",'Mapa final'!$AA$16="Menor"),CONCATENATE("R5C",'Mapa final'!$O$16),"")</f>
        <v/>
      </c>
      <c r="S50" s="78" t="str">
        <f>IF(AND('Mapa final'!$Y$17="Muy Baja",'Mapa final'!$AA$17="Menor"),CONCATENATE("R5C",'Mapa final'!$O$17),"")</f>
        <v/>
      </c>
      <c r="T50" s="78" t="str">
        <f>IF(AND('Mapa final'!$Y$18="Muy Baja",'Mapa final'!$AA$18="Menor"),CONCATENATE("R5C",'Mapa final'!$O$18),"")</f>
        <v/>
      </c>
      <c r="U50" s="79" t="str">
        <f>IF(AND('Mapa final'!$Y$19="Muy Baja",'Mapa final'!$AA$19="Menor"),CONCATENATE("R5C",'Mapa final'!$O$19),"")</f>
        <v/>
      </c>
      <c r="V50" s="68" t="str">
        <f>IF(AND('Mapa final'!$Y$14="Muy Baja",'Mapa final'!$AA$14="Moderado"),CONCATENATE("R5C",'Mapa final'!$O$14),"")</f>
        <v/>
      </c>
      <c r="W50" s="69" t="str">
        <f>IF(AND('Mapa final'!$Y$15="Muy Baja",'Mapa final'!$AA$15="Moderado"),CONCATENATE("R5C",'Mapa final'!$O$15),"")</f>
        <v/>
      </c>
      <c r="X50" s="69" t="str">
        <f>IF(AND('Mapa final'!$Y$16="Muy Baja",'Mapa final'!$AA$16="Moderado"),CONCATENATE("R5C",'Mapa final'!$O$16),"")</f>
        <v/>
      </c>
      <c r="Y50" s="69" t="str">
        <f>IF(AND('Mapa final'!$Y$17="Muy Baja",'Mapa final'!$AA$17="Moderado"),CONCATENATE("R5C",'Mapa final'!$O$17),"")</f>
        <v/>
      </c>
      <c r="Z50" s="69" t="str">
        <f>IF(AND('Mapa final'!$Y$18="Muy Baja",'Mapa final'!$AA$18="Moderado"),CONCATENATE("R5C",'Mapa final'!$O$18),"")</f>
        <v/>
      </c>
      <c r="AA50" s="70" t="str">
        <f>IF(AND('Mapa final'!$Y$19="Muy Baja",'Mapa final'!$AA$19="Moderado"),CONCATENATE("R5C",'Mapa final'!$O$19),"")</f>
        <v/>
      </c>
      <c r="AB50" s="52" t="str">
        <f>IF(AND('Mapa final'!$Y$14="Muy Baja",'Mapa final'!$AA$14="Mayor"),CONCATENATE("R5C",'Mapa final'!$O$14),"")</f>
        <v/>
      </c>
      <c r="AC50" s="53" t="str">
        <f>IF(AND('Mapa final'!$Y$15="Muy Baja",'Mapa final'!$AA$15="Mayor"),CONCATENATE("R5C",'Mapa final'!$O$15),"")</f>
        <v/>
      </c>
      <c r="AD50" s="58" t="str">
        <f>IF(AND('Mapa final'!$Y$16="Muy Baja",'Mapa final'!$AA$16="Mayor"),CONCATENATE("R5C",'Mapa final'!$O$16),"")</f>
        <v/>
      </c>
      <c r="AE50" s="58" t="str">
        <f>IF(AND('Mapa final'!$Y$17="Muy Baja",'Mapa final'!$AA$17="Mayor"),CONCATENATE("R5C",'Mapa final'!$O$17),"")</f>
        <v/>
      </c>
      <c r="AF50" s="58" t="str">
        <f>IF(AND('Mapa final'!$Y$18="Muy Baja",'Mapa final'!$AA$18="Mayor"),CONCATENATE("R5C",'Mapa final'!$O$18),"")</f>
        <v/>
      </c>
      <c r="AG50" s="54" t="str">
        <f>IF(AND('Mapa final'!$Y$19="Muy Baja",'Mapa final'!$AA$19="Mayor"),CONCATENATE("R5C",'Mapa final'!$O$19),"")</f>
        <v/>
      </c>
      <c r="AH50" s="55" t="str">
        <f>IF(AND('Mapa final'!$Y$14="Muy Baja",'Mapa final'!$AA$14="Catastrófico"),CONCATENATE("R5C",'Mapa final'!$O$14),"")</f>
        <v/>
      </c>
      <c r="AI50" s="56" t="str">
        <f>IF(AND('Mapa final'!$Y$15="Muy Baja",'Mapa final'!$AA$15="Catastrófico"),CONCATENATE("R5C",'Mapa final'!$O$15),"")</f>
        <v/>
      </c>
      <c r="AJ50" s="56" t="str">
        <f>IF(AND('Mapa final'!$Y$16="Muy Baja",'Mapa final'!$AA$16="Catastrófico"),CONCATENATE("R5C",'Mapa final'!$O$16),"")</f>
        <v/>
      </c>
      <c r="AK50" s="56" t="str">
        <f>IF(AND('Mapa final'!$Y$17="Muy Baja",'Mapa final'!$AA$17="Catastrófico"),CONCATENATE("R5C",'Mapa final'!$O$17),"")</f>
        <v/>
      </c>
      <c r="AL50" s="56" t="str">
        <f>IF(AND('Mapa final'!$Y$18="Muy Baja",'Mapa final'!$AA$18="Catastrófico"),CONCATENATE("R5C",'Mapa final'!$O$18),"")</f>
        <v/>
      </c>
      <c r="AM50" s="57" t="str">
        <f>IF(AND('Mapa final'!$Y$19="Muy Baja",'Mapa final'!$AA$19="Catastrófico"),CONCATENATE("R5C",'Mapa final'!$O$19),"")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45">
      <c r="A51" s="84"/>
      <c r="B51" s="276"/>
      <c r="C51" s="276"/>
      <c r="D51" s="277"/>
      <c r="E51" s="377"/>
      <c r="F51" s="378"/>
      <c r="G51" s="378"/>
      <c r="H51" s="378"/>
      <c r="I51" s="393"/>
      <c r="J51" s="77" t="str">
        <f>IF(AND('Mapa final'!$Y$20="Muy Baja",'Mapa final'!$AA$20="Leve"),CONCATENATE("R6C",'Mapa final'!$O$20),"")</f>
        <v/>
      </c>
      <c r="K51" s="78" t="str">
        <f>IF(AND('Mapa final'!$Y$21="Muy Baja",'Mapa final'!$AA$21="Leve"),CONCATENATE("R6C",'Mapa final'!$O$21),"")</f>
        <v/>
      </c>
      <c r="L51" s="78" t="str">
        <f>IF(AND('Mapa final'!$Y$22="Muy Baja",'Mapa final'!$AA$22="Leve"),CONCATENATE("R6C",'Mapa final'!$O$22),"")</f>
        <v/>
      </c>
      <c r="M51" s="78" t="str">
        <f>IF(AND('Mapa final'!$Y$23="Muy Baja",'Mapa final'!$AA$23="Leve"),CONCATENATE("R6C",'Mapa final'!$O$23),"")</f>
        <v/>
      </c>
      <c r="N51" s="78" t="str">
        <f>IF(AND('Mapa final'!$Y$24="Muy Baja",'Mapa final'!$AA$24="Leve"),CONCATENATE("R6C",'Mapa final'!$O$24),"")</f>
        <v/>
      </c>
      <c r="O51" s="79" t="str">
        <f>IF(AND('Mapa final'!$Y$25="Muy Baja",'Mapa final'!$AA$25="Leve"),CONCATENATE("R6C",'Mapa final'!$O$25),"")</f>
        <v/>
      </c>
      <c r="P51" s="77" t="str">
        <f>IF(AND('Mapa final'!$Y$20="Muy Baja",'Mapa final'!$AA$20="Menor"),CONCATENATE("R6C",'Mapa final'!$O$20),"")</f>
        <v/>
      </c>
      <c r="Q51" s="78" t="str">
        <f>IF(AND('Mapa final'!$Y$21="Muy Baja",'Mapa final'!$AA$21="Menor"),CONCATENATE("R6C",'Mapa final'!$O$21),"")</f>
        <v/>
      </c>
      <c r="R51" s="78" t="str">
        <f>IF(AND('Mapa final'!$Y$22="Muy Baja",'Mapa final'!$AA$22="Menor"),CONCATENATE("R6C",'Mapa final'!$O$22),"")</f>
        <v/>
      </c>
      <c r="S51" s="78" t="str">
        <f>IF(AND('Mapa final'!$Y$23="Muy Baja",'Mapa final'!$AA$23="Menor"),CONCATENATE("R6C",'Mapa final'!$O$23),"")</f>
        <v/>
      </c>
      <c r="T51" s="78" t="str">
        <f>IF(AND('Mapa final'!$Y$24="Muy Baja",'Mapa final'!$AA$24="Menor"),CONCATENATE("R6C",'Mapa final'!$O$24),"")</f>
        <v/>
      </c>
      <c r="U51" s="79" t="str">
        <f>IF(AND('Mapa final'!$Y$25="Muy Baja",'Mapa final'!$AA$25="Menor"),CONCATENATE("R6C",'Mapa final'!$O$25),"")</f>
        <v/>
      </c>
      <c r="V51" s="68" t="str">
        <f>IF(AND('Mapa final'!$Y$20="Muy Baja",'Mapa final'!$AA$20="Moderado"),CONCATENATE("R6C",'Mapa final'!$O$20),"")</f>
        <v/>
      </c>
      <c r="W51" s="69" t="str">
        <f>IF(AND('Mapa final'!$Y$21="Muy Baja",'Mapa final'!$AA$21="Moderado"),CONCATENATE("R6C",'Mapa final'!$O$21),"")</f>
        <v/>
      </c>
      <c r="X51" s="69" t="str">
        <f>IF(AND('Mapa final'!$Y$22="Muy Baja",'Mapa final'!$AA$22="Moderado"),CONCATENATE("R6C",'Mapa final'!$O$22),"")</f>
        <v/>
      </c>
      <c r="Y51" s="69" t="str">
        <f>IF(AND('Mapa final'!$Y$23="Muy Baja",'Mapa final'!$AA$23="Moderado"),CONCATENATE("R6C",'Mapa final'!$O$23),"")</f>
        <v/>
      </c>
      <c r="Z51" s="69" t="str">
        <f>IF(AND('Mapa final'!$Y$24="Muy Baja",'Mapa final'!$AA$24="Moderado"),CONCATENATE("R6C",'Mapa final'!$O$24),"")</f>
        <v/>
      </c>
      <c r="AA51" s="70" t="str">
        <f>IF(AND('Mapa final'!$Y$25="Muy Baja",'Mapa final'!$AA$25="Moderado"),CONCATENATE("R6C",'Mapa final'!$O$25),"")</f>
        <v/>
      </c>
      <c r="AB51" s="52" t="str">
        <f>IF(AND('Mapa final'!$Y$20="Muy Baja",'Mapa final'!$AA$20="Mayor"),CONCATENATE("R6C",'Mapa final'!$O$20),"")</f>
        <v/>
      </c>
      <c r="AC51" s="53" t="str">
        <f>IF(AND('Mapa final'!$Y$21="Muy Baja",'Mapa final'!$AA$21="Mayor"),CONCATENATE("R6C",'Mapa final'!$O$21),"")</f>
        <v/>
      </c>
      <c r="AD51" s="58" t="str">
        <f>IF(AND('Mapa final'!$Y$22="Muy Baja",'Mapa final'!$AA$22="Mayor"),CONCATENATE("R6C",'Mapa final'!$O$22),"")</f>
        <v/>
      </c>
      <c r="AE51" s="58" t="str">
        <f>IF(AND('Mapa final'!$Y$23="Muy Baja",'Mapa final'!$AA$23="Mayor"),CONCATENATE("R6C",'Mapa final'!$O$23),"")</f>
        <v/>
      </c>
      <c r="AF51" s="58" t="str">
        <f>IF(AND('Mapa final'!$Y$24="Muy Baja",'Mapa final'!$AA$24="Mayor"),CONCATENATE("R6C",'Mapa final'!$O$24),"")</f>
        <v/>
      </c>
      <c r="AG51" s="54" t="str">
        <f>IF(AND('Mapa final'!$Y$25="Muy Baja",'Mapa final'!$AA$25="Mayor"),CONCATENATE("R6C",'Mapa final'!$O$25),"")</f>
        <v/>
      </c>
      <c r="AH51" s="55" t="str">
        <f>IF(AND('Mapa final'!$Y$20="Muy Baja",'Mapa final'!$AA$20="Catastrófico"),CONCATENATE("R6C",'Mapa final'!$O$20),"")</f>
        <v/>
      </c>
      <c r="AI51" s="56" t="str">
        <f>IF(AND('Mapa final'!$Y$21="Muy Baja",'Mapa final'!$AA$21="Catastrófico"),CONCATENATE("R6C",'Mapa final'!$O$21),"")</f>
        <v/>
      </c>
      <c r="AJ51" s="56" t="str">
        <f>IF(AND('Mapa final'!$Y$22="Muy Baja",'Mapa final'!$AA$22="Catastrófico"),CONCATENATE("R6C",'Mapa final'!$O$22),"")</f>
        <v/>
      </c>
      <c r="AK51" s="56" t="str">
        <f>IF(AND('Mapa final'!$Y$23="Muy Baja",'Mapa final'!$AA$23="Catastrófico"),CONCATENATE("R6C",'Mapa final'!$O$23),"")</f>
        <v/>
      </c>
      <c r="AL51" s="56" t="str">
        <f>IF(AND('Mapa final'!$Y$24="Muy Baja",'Mapa final'!$AA$24="Catastrófico"),CONCATENATE("R6C",'Mapa final'!$O$24),"")</f>
        <v/>
      </c>
      <c r="AM51" s="57" t="str">
        <f>IF(AND('Mapa final'!$Y$25="Muy Baja",'Mapa final'!$AA$25="Catastrófico"),CONCATENATE("R6C",'Mapa final'!$O$25),"")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45">
      <c r="A52" s="84"/>
      <c r="B52" s="276"/>
      <c r="C52" s="276"/>
      <c r="D52" s="277"/>
      <c r="E52" s="377"/>
      <c r="F52" s="378"/>
      <c r="G52" s="378"/>
      <c r="H52" s="378"/>
      <c r="I52" s="393"/>
      <c r="J52" s="77" t="str">
        <f>IF(AND('Mapa final'!$Y$26="Muy Baja",'Mapa final'!$AA$26="Leve"),CONCATENATE("R7C",'Mapa final'!$O$26),"")</f>
        <v/>
      </c>
      <c r="K52" s="78" t="str">
        <f>IF(AND('Mapa final'!$Y$27="Muy Baja",'Mapa final'!$AA$27="Leve"),CONCATENATE("R7C",'Mapa final'!$O$27),"")</f>
        <v/>
      </c>
      <c r="L52" s="78" t="str">
        <f>IF(AND('Mapa final'!$Y$28="Muy Baja",'Mapa final'!$AA$28="Leve"),CONCATENATE("R7C",'Mapa final'!$O$28),"")</f>
        <v/>
      </c>
      <c r="M52" s="78" t="str">
        <f>IF(AND('Mapa final'!$Y$29="Muy Baja",'Mapa final'!$AA$29="Leve"),CONCATENATE("R7C",'Mapa final'!$O$29),"")</f>
        <v/>
      </c>
      <c r="N52" s="78" t="str">
        <f>IF(AND('Mapa final'!$Y$30="Muy Baja",'Mapa final'!$AA$30="Leve"),CONCATENATE("R7C",'Mapa final'!$O$30),"")</f>
        <v/>
      </c>
      <c r="O52" s="79" t="str">
        <f>IF(AND('Mapa final'!$Y$31="Muy Baja",'Mapa final'!$AA$31="Leve"),CONCATENATE("R7C",'Mapa final'!$O$31),"")</f>
        <v/>
      </c>
      <c r="P52" s="77" t="str">
        <f>IF(AND('Mapa final'!$Y$26="Muy Baja",'Mapa final'!$AA$26="Menor"),CONCATENATE("R7C",'Mapa final'!$O$26),"")</f>
        <v/>
      </c>
      <c r="Q52" s="78" t="str">
        <f>IF(AND('Mapa final'!$Y$27="Muy Baja",'Mapa final'!$AA$27="Menor"),CONCATENATE("R7C",'Mapa final'!$O$27),"")</f>
        <v/>
      </c>
      <c r="R52" s="78" t="str">
        <f>IF(AND('Mapa final'!$Y$28="Muy Baja",'Mapa final'!$AA$28="Menor"),CONCATENATE("R7C",'Mapa final'!$O$28),"")</f>
        <v/>
      </c>
      <c r="S52" s="78" t="str">
        <f>IF(AND('Mapa final'!$Y$29="Muy Baja",'Mapa final'!$AA$29="Menor"),CONCATENATE("R7C",'Mapa final'!$O$29),"")</f>
        <v/>
      </c>
      <c r="T52" s="78" t="str">
        <f>IF(AND('Mapa final'!$Y$30="Muy Baja",'Mapa final'!$AA$30="Menor"),CONCATENATE("R7C",'Mapa final'!$O$30),"")</f>
        <v/>
      </c>
      <c r="U52" s="79" t="str">
        <f>IF(AND('Mapa final'!$Y$31="Muy Baja",'Mapa final'!$AA$31="Menor"),CONCATENATE("R7C",'Mapa final'!$O$31),"")</f>
        <v/>
      </c>
      <c r="V52" s="68" t="str">
        <f>IF(AND('Mapa final'!$Y$26="Muy Baja",'Mapa final'!$AA$26="Moderado"),CONCATENATE("R7C",'Mapa final'!$O$26),"")</f>
        <v/>
      </c>
      <c r="W52" s="69" t="str">
        <f>IF(AND('Mapa final'!$Y$27="Muy Baja",'Mapa final'!$AA$27="Moderado"),CONCATENATE("R7C",'Mapa final'!$O$27),"")</f>
        <v/>
      </c>
      <c r="X52" s="69" t="str">
        <f>IF(AND('Mapa final'!$Y$28="Muy Baja",'Mapa final'!$AA$28="Moderado"),CONCATENATE("R7C",'Mapa final'!$O$28),"")</f>
        <v/>
      </c>
      <c r="Y52" s="69" t="str">
        <f>IF(AND('Mapa final'!$Y$29="Muy Baja",'Mapa final'!$AA$29="Moderado"),CONCATENATE("R7C",'Mapa final'!$O$29),"")</f>
        <v/>
      </c>
      <c r="Z52" s="69" t="str">
        <f>IF(AND('Mapa final'!$Y$30="Muy Baja",'Mapa final'!$AA$30="Moderado"),CONCATENATE("R7C",'Mapa final'!$O$30),"")</f>
        <v/>
      </c>
      <c r="AA52" s="70" t="str">
        <f>IF(AND('Mapa final'!$Y$31="Muy Baja",'Mapa final'!$AA$31="Moderado"),CONCATENATE("R7C",'Mapa final'!$O$31),"")</f>
        <v/>
      </c>
      <c r="AB52" s="52" t="str">
        <f>IF(AND('Mapa final'!$Y$26="Muy Baja",'Mapa final'!$AA$26="Mayor"),CONCATENATE("R7C",'Mapa final'!$O$26),"")</f>
        <v/>
      </c>
      <c r="AC52" s="53" t="str">
        <f>IF(AND('Mapa final'!$Y$27="Muy Baja",'Mapa final'!$AA$27="Mayor"),CONCATENATE("R7C",'Mapa final'!$O$27),"")</f>
        <v/>
      </c>
      <c r="AD52" s="58" t="str">
        <f>IF(AND('Mapa final'!$Y$28="Muy Baja",'Mapa final'!$AA$28="Mayor"),CONCATENATE("R7C",'Mapa final'!$O$28),"")</f>
        <v/>
      </c>
      <c r="AE52" s="58" t="str">
        <f>IF(AND('Mapa final'!$Y$29="Muy Baja",'Mapa final'!$AA$29="Mayor"),CONCATENATE("R7C",'Mapa final'!$O$29),"")</f>
        <v/>
      </c>
      <c r="AF52" s="58" t="str">
        <f>IF(AND('Mapa final'!$Y$30="Muy Baja",'Mapa final'!$AA$30="Mayor"),CONCATENATE("R7C",'Mapa final'!$O$30),"")</f>
        <v/>
      </c>
      <c r="AG52" s="54" t="str">
        <f>IF(AND('Mapa final'!$Y$31="Muy Baja",'Mapa final'!$AA$31="Mayor"),CONCATENATE("R7C",'Mapa final'!$O$31),"")</f>
        <v/>
      </c>
      <c r="AH52" s="55" t="str">
        <f>IF(AND('Mapa final'!$Y$26="Muy Baja",'Mapa final'!$AA$26="Catastrófico"),CONCATENATE("R7C",'Mapa final'!$O$26),"")</f>
        <v/>
      </c>
      <c r="AI52" s="56" t="str">
        <f>IF(AND('Mapa final'!$Y$27="Muy Baja",'Mapa final'!$AA$27="Catastrófico"),CONCATENATE("R7C",'Mapa final'!$O$27),"")</f>
        <v/>
      </c>
      <c r="AJ52" s="56" t="str">
        <f>IF(AND('Mapa final'!$Y$28="Muy Baja",'Mapa final'!$AA$28="Catastrófico"),CONCATENATE("R7C",'Mapa final'!$O$28),"")</f>
        <v/>
      </c>
      <c r="AK52" s="56" t="str">
        <f>IF(AND('Mapa final'!$Y$29="Muy Baja",'Mapa final'!$AA$29="Catastrófico"),CONCATENATE("R7C",'Mapa final'!$O$29),"")</f>
        <v/>
      </c>
      <c r="AL52" s="56" t="str">
        <f>IF(AND('Mapa final'!$Y$30="Muy Baja",'Mapa final'!$AA$30="Catastrófico"),CONCATENATE("R7C",'Mapa final'!$O$30),"")</f>
        <v/>
      </c>
      <c r="AM52" s="57" t="str">
        <f>IF(AND('Mapa final'!$Y$31="Muy Baja",'Mapa final'!$AA$31="Catastrófico"),CONCATENATE("R7C",'Mapa final'!$O$31),"")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5">
      <c r="A53" s="84"/>
      <c r="B53" s="276"/>
      <c r="C53" s="276"/>
      <c r="D53" s="277"/>
      <c r="E53" s="377"/>
      <c r="F53" s="378"/>
      <c r="G53" s="378"/>
      <c r="H53" s="378"/>
      <c r="I53" s="393"/>
      <c r="J53" s="77" t="str">
        <f>IF(AND('Mapa final'!$Y$32="Muy Baja",'Mapa final'!$AA$32="Leve"),CONCATENATE("R8C",'Mapa final'!$O$32),"")</f>
        <v/>
      </c>
      <c r="K53" s="78" t="str">
        <f>IF(AND('Mapa final'!$Y$33="Muy Baja",'Mapa final'!$AA$33="Leve"),CONCATENATE("R8C",'Mapa final'!$O$33),"")</f>
        <v/>
      </c>
      <c r="L53" s="78" t="str">
        <f>IF(AND('Mapa final'!$Y$34="Muy Baja",'Mapa final'!$AA$34="Leve"),CONCATENATE("R8C",'Mapa final'!$O$34),"")</f>
        <v/>
      </c>
      <c r="M53" s="78" t="str">
        <f>IF(AND('Mapa final'!$Y$35="Muy Baja",'Mapa final'!$AA$35="Leve"),CONCATENATE("R8C",'Mapa final'!$O$35),"")</f>
        <v/>
      </c>
      <c r="N53" s="78" t="str">
        <f>IF(AND('Mapa final'!$Y$36="Muy Baja",'Mapa final'!$AA$36="Leve"),CONCATENATE("R8C",'Mapa final'!$O$36),"")</f>
        <v/>
      </c>
      <c r="O53" s="79" t="str">
        <f>IF(AND('Mapa final'!$Y$37="Muy Baja",'Mapa final'!$AA$37="Leve"),CONCATENATE("R8C",'Mapa final'!$O$37),"")</f>
        <v/>
      </c>
      <c r="P53" s="77" t="str">
        <f>IF(AND('Mapa final'!$Y$32="Muy Baja",'Mapa final'!$AA$32="Menor"),CONCATENATE("R8C",'Mapa final'!$O$32),"")</f>
        <v/>
      </c>
      <c r="Q53" s="78" t="str">
        <f>IF(AND('Mapa final'!$Y$33="Muy Baja",'Mapa final'!$AA$33="Menor"),CONCATENATE("R8C",'Mapa final'!$O$33),"")</f>
        <v/>
      </c>
      <c r="R53" s="78" t="str">
        <f>IF(AND('Mapa final'!$Y$34="Muy Baja",'Mapa final'!$AA$34="Menor"),CONCATENATE("R8C",'Mapa final'!$O$34),"")</f>
        <v/>
      </c>
      <c r="S53" s="78" t="str">
        <f>IF(AND('Mapa final'!$Y$35="Muy Baja",'Mapa final'!$AA$35="Menor"),CONCATENATE("R8C",'Mapa final'!$O$35),"")</f>
        <v/>
      </c>
      <c r="T53" s="78" t="str">
        <f>IF(AND('Mapa final'!$Y$36="Muy Baja",'Mapa final'!$AA$36="Menor"),CONCATENATE("R8C",'Mapa final'!$O$36),"")</f>
        <v/>
      </c>
      <c r="U53" s="79" t="str">
        <f>IF(AND('Mapa final'!$Y$37="Muy Baja",'Mapa final'!$AA$37="Menor"),CONCATENATE("R8C",'Mapa final'!$O$37),"")</f>
        <v/>
      </c>
      <c r="V53" s="68" t="str">
        <f>IF(AND('Mapa final'!$Y$32="Muy Baja",'Mapa final'!$AA$32="Moderado"),CONCATENATE("R8C",'Mapa final'!$O$32),"")</f>
        <v/>
      </c>
      <c r="W53" s="69" t="str">
        <f>IF(AND('Mapa final'!$Y$33="Muy Baja",'Mapa final'!$AA$33="Moderado"),CONCATENATE("R8C",'Mapa final'!$O$33),"")</f>
        <v/>
      </c>
      <c r="X53" s="69" t="str">
        <f>IF(AND('Mapa final'!$Y$34="Muy Baja",'Mapa final'!$AA$34="Moderado"),CONCATENATE("R8C",'Mapa final'!$O$34),"")</f>
        <v/>
      </c>
      <c r="Y53" s="69" t="str">
        <f>IF(AND('Mapa final'!$Y$35="Muy Baja",'Mapa final'!$AA$35="Moderado"),CONCATENATE("R8C",'Mapa final'!$O$35),"")</f>
        <v/>
      </c>
      <c r="Z53" s="69" t="str">
        <f>IF(AND('Mapa final'!$Y$36="Muy Baja",'Mapa final'!$AA$36="Moderado"),CONCATENATE("R8C",'Mapa final'!$O$36),"")</f>
        <v/>
      </c>
      <c r="AA53" s="70" t="str">
        <f>IF(AND('Mapa final'!$Y$37="Muy Baja",'Mapa final'!$AA$37="Moderado"),CONCATENATE("R8C",'Mapa final'!$O$37),"")</f>
        <v/>
      </c>
      <c r="AB53" s="52" t="str">
        <f>IF(AND('Mapa final'!$Y$32="Muy Baja",'Mapa final'!$AA$32="Mayor"),CONCATENATE("R8C",'Mapa final'!$O$32),"")</f>
        <v/>
      </c>
      <c r="AC53" s="53" t="str">
        <f>IF(AND('Mapa final'!$Y$33="Muy Baja",'Mapa final'!$AA$33="Mayor"),CONCATENATE("R8C",'Mapa final'!$O$33),"")</f>
        <v/>
      </c>
      <c r="AD53" s="58" t="str">
        <f>IF(AND('Mapa final'!$Y$34="Muy Baja",'Mapa final'!$AA$34="Mayor"),CONCATENATE("R8C",'Mapa final'!$O$34),"")</f>
        <v/>
      </c>
      <c r="AE53" s="58" t="str">
        <f>IF(AND('Mapa final'!$Y$35="Muy Baja",'Mapa final'!$AA$35="Mayor"),CONCATENATE("R8C",'Mapa final'!$O$35),"")</f>
        <v/>
      </c>
      <c r="AF53" s="58" t="str">
        <f>IF(AND('Mapa final'!$Y$36="Muy Baja",'Mapa final'!$AA$36="Mayor"),CONCATENATE("R8C",'Mapa final'!$O$36),"")</f>
        <v/>
      </c>
      <c r="AG53" s="54" t="str">
        <f>IF(AND('Mapa final'!$Y$37="Muy Baja",'Mapa final'!$AA$37="Mayor"),CONCATENATE("R8C",'Mapa final'!$O$37),"")</f>
        <v/>
      </c>
      <c r="AH53" s="55" t="str">
        <f>IF(AND('Mapa final'!$Y$32="Muy Baja",'Mapa final'!$AA$32="Catastrófico"),CONCATENATE("R8C",'Mapa final'!$O$32),"")</f>
        <v/>
      </c>
      <c r="AI53" s="56" t="str">
        <f>IF(AND('Mapa final'!$Y$33="Muy Baja",'Mapa final'!$AA$33="Catastrófico"),CONCATENATE("R8C",'Mapa final'!$O$33),"")</f>
        <v/>
      </c>
      <c r="AJ53" s="56" t="str">
        <f>IF(AND('Mapa final'!$Y$34="Muy Baja",'Mapa final'!$AA$34="Catastrófico"),CONCATENATE("R8C",'Mapa final'!$O$34),"")</f>
        <v/>
      </c>
      <c r="AK53" s="56" t="str">
        <f>IF(AND('Mapa final'!$Y$35="Muy Baja",'Mapa final'!$AA$35="Catastrófico"),CONCATENATE("R8C",'Mapa final'!$O$35),"")</f>
        <v/>
      </c>
      <c r="AL53" s="56" t="str">
        <f>IF(AND('Mapa final'!$Y$36="Muy Baja",'Mapa final'!$AA$36="Catastrófico"),CONCATENATE("R8C",'Mapa final'!$O$36),"")</f>
        <v/>
      </c>
      <c r="AM53" s="57" t="str">
        <f>IF(AND('Mapa final'!$Y$37="Muy Baja",'Mapa final'!$AA$37="Catastrófico"),CONCATENATE("R8C",'Mapa final'!$O$37),"")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5">
      <c r="A54" s="84"/>
      <c r="B54" s="276"/>
      <c r="C54" s="276"/>
      <c r="D54" s="277"/>
      <c r="E54" s="377"/>
      <c r="F54" s="378"/>
      <c r="G54" s="378"/>
      <c r="H54" s="378"/>
      <c r="I54" s="393"/>
      <c r="J54" s="77" t="str">
        <f>IF(AND('Mapa final'!$Y$38="Muy Baja",'Mapa final'!$AA$38="Leve"),CONCATENATE("R9C",'Mapa final'!$O$38),"")</f>
        <v/>
      </c>
      <c r="K54" s="78" t="str">
        <f>IF(AND('Mapa final'!$Y$39="Muy Baja",'Mapa final'!$AA$39="Leve"),CONCATENATE("R9C",'Mapa final'!$O$39),"")</f>
        <v/>
      </c>
      <c r="L54" s="78" t="str">
        <f>IF(AND('Mapa final'!$Y$40="Muy Baja",'Mapa final'!$AA$40="Leve"),CONCATENATE("R9C",'Mapa final'!$O$40),"")</f>
        <v/>
      </c>
      <c r="M54" s="78" t="str">
        <f>IF(AND('Mapa final'!$Y$41="Muy Baja",'Mapa final'!$AA$41="Leve"),CONCATENATE("R9C",'Mapa final'!$O$41),"")</f>
        <v/>
      </c>
      <c r="N54" s="78" t="str">
        <f>IF(AND('Mapa final'!$Y$42="Muy Baja",'Mapa final'!$AA$42="Leve"),CONCATENATE("R9C",'Mapa final'!$O$42),"")</f>
        <v/>
      </c>
      <c r="O54" s="79" t="str">
        <f>IF(AND('Mapa final'!$Y$43="Muy Baja",'Mapa final'!$AA$43="Leve"),CONCATENATE("R9C",'Mapa final'!$O$43),"")</f>
        <v/>
      </c>
      <c r="P54" s="77" t="str">
        <f>IF(AND('Mapa final'!$Y$38="Muy Baja",'Mapa final'!$AA$38="Menor"),CONCATENATE("R9C",'Mapa final'!$O$38),"")</f>
        <v/>
      </c>
      <c r="Q54" s="78" t="str">
        <f>IF(AND('Mapa final'!$Y$39="Muy Baja",'Mapa final'!$AA$39="Menor"),CONCATENATE("R9C",'Mapa final'!$O$39),"")</f>
        <v/>
      </c>
      <c r="R54" s="78" t="str">
        <f>IF(AND('Mapa final'!$Y$40="Muy Baja",'Mapa final'!$AA$40="Menor"),CONCATENATE("R9C",'Mapa final'!$O$40),"")</f>
        <v/>
      </c>
      <c r="S54" s="78" t="str">
        <f>IF(AND('Mapa final'!$Y$41="Muy Baja",'Mapa final'!$AA$41="Menor"),CONCATENATE("R9C",'Mapa final'!$O$41),"")</f>
        <v/>
      </c>
      <c r="T54" s="78" t="str">
        <f>IF(AND('Mapa final'!$Y$42="Muy Baja",'Mapa final'!$AA$42="Menor"),CONCATENATE("R9C",'Mapa final'!$O$42),"")</f>
        <v/>
      </c>
      <c r="U54" s="79" t="str">
        <f>IF(AND('Mapa final'!$Y$43="Muy Baja",'Mapa final'!$AA$43="Menor"),CONCATENATE("R9C",'Mapa final'!$O$43),"")</f>
        <v/>
      </c>
      <c r="V54" s="68" t="str">
        <f>IF(AND('Mapa final'!$Y$38="Muy Baja",'Mapa final'!$AA$38="Moderado"),CONCATENATE("R9C",'Mapa final'!$O$38),"")</f>
        <v/>
      </c>
      <c r="W54" s="69" t="str">
        <f>IF(AND('Mapa final'!$Y$39="Muy Baja",'Mapa final'!$AA$39="Moderado"),CONCATENATE("R9C",'Mapa final'!$O$39),"")</f>
        <v/>
      </c>
      <c r="X54" s="69" t="str">
        <f>IF(AND('Mapa final'!$Y$40="Muy Baja",'Mapa final'!$AA$40="Moderado"),CONCATENATE("R9C",'Mapa final'!$O$40),"")</f>
        <v/>
      </c>
      <c r="Y54" s="69" t="str">
        <f>IF(AND('Mapa final'!$Y$41="Muy Baja",'Mapa final'!$AA$41="Moderado"),CONCATENATE("R9C",'Mapa final'!$O$41),"")</f>
        <v/>
      </c>
      <c r="Z54" s="69" t="str">
        <f>IF(AND('Mapa final'!$Y$42="Muy Baja",'Mapa final'!$AA$42="Moderado"),CONCATENATE("R9C",'Mapa final'!$O$42),"")</f>
        <v/>
      </c>
      <c r="AA54" s="70" t="str">
        <f>IF(AND('Mapa final'!$Y$43="Muy Baja",'Mapa final'!$AA$43="Moderado"),CONCATENATE("R9C",'Mapa final'!$O$43),"")</f>
        <v/>
      </c>
      <c r="AB54" s="52" t="str">
        <f>IF(AND('Mapa final'!$Y$38="Muy Baja",'Mapa final'!$AA$38="Mayor"),CONCATENATE("R9C",'Mapa final'!$O$38),"")</f>
        <v/>
      </c>
      <c r="AC54" s="53" t="str">
        <f>IF(AND('Mapa final'!$Y$39="Muy Baja",'Mapa final'!$AA$39="Mayor"),CONCATENATE("R9C",'Mapa final'!$O$39),"")</f>
        <v/>
      </c>
      <c r="AD54" s="58" t="str">
        <f>IF(AND('Mapa final'!$Y$40="Muy Baja",'Mapa final'!$AA$40="Mayor"),CONCATENATE("R9C",'Mapa final'!$O$40),"")</f>
        <v/>
      </c>
      <c r="AE54" s="58" t="str">
        <f>IF(AND('Mapa final'!$Y$41="Muy Baja",'Mapa final'!$AA$41="Mayor"),CONCATENATE("R9C",'Mapa final'!$O$41),"")</f>
        <v/>
      </c>
      <c r="AF54" s="58" t="str">
        <f>IF(AND('Mapa final'!$Y$42="Muy Baja",'Mapa final'!$AA$42="Mayor"),CONCATENATE("R9C",'Mapa final'!$O$42),"")</f>
        <v/>
      </c>
      <c r="AG54" s="54" t="str">
        <f>IF(AND('Mapa final'!$Y$43="Muy Baja",'Mapa final'!$AA$43="Mayor"),CONCATENATE("R9C",'Mapa final'!$O$43),"")</f>
        <v/>
      </c>
      <c r="AH54" s="55" t="str">
        <f>IF(AND('Mapa final'!$Y$38="Muy Baja",'Mapa final'!$AA$38="Catastrófico"),CONCATENATE("R9C",'Mapa final'!$O$38),"")</f>
        <v/>
      </c>
      <c r="AI54" s="56" t="str">
        <f>IF(AND('Mapa final'!$Y$39="Muy Baja",'Mapa final'!$AA$39="Catastrófico"),CONCATENATE("R9C",'Mapa final'!$O$39),"")</f>
        <v/>
      </c>
      <c r="AJ54" s="56" t="str">
        <f>IF(AND('Mapa final'!$Y$40="Muy Baja",'Mapa final'!$AA$40="Catastrófico"),CONCATENATE("R9C",'Mapa final'!$O$40),"")</f>
        <v/>
      </c>
      <c r="AK54" s="56" t="str">
        <f>IF(AND('Mapa final'!$Y$41="Muy Baja",'Mapa final'!$AA$41="Catastrófico"),CONCATENATE("R9C",'Mapa final'!$O$41),"")</f>
        <v/>
      </c>
      <c r="AL54" s="56" t="str">
        <f>IF(AND('Mapa final'!$Y$42="Muy Baja",'Mapa final'!$AA$42="Catastrófico"),CONCATENATE("R9C",'Mapa final'!$O$42),"")</f>
        <v/>
      </c>
      <c r="AM54" s="57" t="str">
        <f>IF(AND('Mapa final'!$Y$43="Muy Baja",'Mapa final'!$AA$43="Catastrófico"),CONCATENATE("R9C",'Mapa final'!$O$43),"")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5">
      <c r="A55" s="84"/>
      <c r="B55" s="276"/>
      <c r="C55" s="276"/>
      <c r="D55" s="277"/>
      <c r="E55" s="379"/>
      <c r="F55" s="380"/>
      <c r="G55" s="380"/>
      <c r="H55" s="380"/>
      <c r="I55" s="394"/>
      <c r="J55" s="80" t="str">
        <f>IF(AND('Mapa final'!$Y$44="Muy Baja",'Mapa final'!$AA$44="Leve"),CONCATENATE("R10C",'Mapa final'!$O$44),"")</f>
        <v/>
      </c>
      <c r="K55" s="81" t="str">
        <f>IF(AND('Mapa final'!$Y$45="Muy Baja",'Mapa final'!$AA$45="Leve"),CONCATENATE("R10C",'Mapa final'!$O$45),"")</f>
        <v/>
      </c>
      <c r="L55" s="81" t="str">
        <f>IF(AND('Mapa final'!$Y$46="Muy Baja",'Mapa final'!$AA$46="Leve"),CONCATENATE("R10C",'Mapa final'!$O$46),"")</f>
        <v/>
      </c>
      <c r="M55" s="81" t="str">
        <f>IF(AND('Mapa final'!$Y$47="Muy Baja",'Mapa final'!$AA$47="Leve"),CONCATENATE("R10C",'Mapa final'!$O$47),"")</f>
        <v/>
      </c>
      <c r="N55" s="81" t="str">
        <f>IF(AND('Mapa final'!$Y$48="Muy Baja",'Mapa final'!$AA$48="Leve"),CONCATENATE("R10C",'Mapa final'!$O$48),"")</f>
        <v/>
      </c>
      <c r="O55" s="82" t="str">
        <f>IF(AND('Mapa final'!$Y$49="Muy Baja",'Mapa final'!$AA$49="Leve"),CONCATENATE("R10C",'Mapa final'!$O$49),"")</f>
        <v/>
      </c>
      <c r="P55" s="80" t="str">
        <f>IF(AND('Mapa final'!$Y$44="Muy Baja",'Mapa final'!$AA$44="Menor"),CONCATENATE("R10C",'Mapa final'!$O$44),"")</f>
        <v/>
      </c>
      <c r="Q55" s="81" t="str">
        <f>IF(AND('Mapa final'!$Y$45="Muy Baja",'Mapa final'!$AA$45="Menor"),CONCATENATE("R10C",'Mapa final'!$O$45),"")</f>
        <v/>
      </c>
      <c r="R55" s="81" t="str">
        <f>IF(AND('Mapa final'!$Y$46="Muy Baja",'Mapa final'!$AA$46="Menor"),CONCATENATE("R10C",'Mapa final'!$O$46),"")</f>
        <v/>
      </c>
      <c r="S55" s="81" t="str">
        <f>IF(AND('Mapa final'!$Y$47="Muy Baja",'Mapa final'!$AA$47="Menor"),CONCATENATE("R10C",'Mapa final'!$O$47),"")</f>
        <v/>
      </c>
      <c r="T55" s="81" t="str">
        <f>IF(AND('Mapa final'!$Y$48="Muy Baja",'Mapa final'!$AA$48="Menor"),CONCATENATE("R10C",'Mapa final'!$O$48),"")</f>
        <v/>
      </c>
      <c r="U55" s="82" t="str">
        <f>IF(AND('Mapa final'!$Y$49="Muy Baja",'Mapa final'!$AA$49="Menor"),CONCATENATE("R10C",'Mapa final'!$O$49),"")</f>
        <v/>
      </c>
      <c r="V55" s="71" t="str">
        <f>IF(AND('Mapa final'!$Y$44="Muy Baja",'Mapa final'!$AA$44="Moderado"),CONCATENATE("R10C",'Mapa final'!$O$44),"")</f>
        <v/>
      </c>
      <c r="W55" s="72" t="str">
        <f>IF(AND('Mapa final'!$Y$45="Muy Baja",'Mapa final'!$AA$45="Moderado"),CONCATENATE("R10C",'Mapa final'!$O$45),"")</f>
        <v/>
      </c>
      <c r="X55" s="72" t="str">
        <f>IF(AND('Mapa final'!$Y$46="Muy Baja",'Mapa final'!$AA$46="Moderado"),CONCATENATE("R10C",'Mapa final'!$O$46),"")</f>
        <v/>
      </c>
      <c r="Y55" s="72" t="str">
        <f>IF(AND('Mapa final'!$Y$47="Muy Baja",'Mapa final'!$AA$47="Moderado"),CONCATENATE("R10C",'Mapa final'!$O$47),"")</f>
        <v/>
      </c>
      <c r="Z55" s="72" t="str">
        <f>IF(AND('Mapa final'!$Y$48="Muy Baja",'Mapa final'!$AA$48="Moderado"),CONCATENATE("R10C",'Mapa final'!$O$48),"")</f>
        <v/>
      </c>
      <c r="AA55" s="73" t="str">
        <f>IF(AND('Mapa final'!$Y$49="Muy Baja",'Mapa final'!$AA$49="Moderado"),CONCATENATE("R10C",'Mapa final'!$O$49),"")</f>
        <v/>
      </c>
      <c r="AB55" s="59" t="str">
        <f>IF(AND('Mapa final'!$Y$44="Muy Baja",'Mapa final'!$AA$44="Mayor"),CONCATENATE("R10C",'Mapa final'!$O$44),"")</f>
        <v/>
      </c>
      <c r="AC55" s="60" t="str">
        <f>IF(AND('Mapa final'!$Y$45="Muy Baja",'Mapa final'!$AA$45="Mayor"),CONCATENATE("R10C",'Mapa final'!$O$45),"")</f>
        <v/>
      </c>
      <c r="AD55" s="60" t="str">
        <f>IF(AND('Mapa final'!$Y$46="Muy Baja",'Mapa final'!$AA$46="Mayor"),CONCATENATE("R10C",'Mapa final'!$O$46),"")</f>
        <v/>
      </c>
      <c r="AE55" s="60" t="str">
        <f>IF(AND('Mapa final'!$Y$47="Muy Baja",'Mapa final'!$AA$47="Mayor"),CONCATENATE("R10C",'Mapa final'!$O$47),"")</f>
        <v/>
      </c>
      <c r="AF55" s="60" t="str">
        <f>IF(AND('Mapa final'!$Y$48="Muy Baja",'Mapa final'!$AA$48="Mayor"),CONCATENATE("R10C",'Mapa final'!$O$48),"")</f>
        <v/>
      </c>
      <c r="AG55" s="61" t="str">
        <f>IF(AND('Mapa final'!$Y$49="Muy Baja",'Mapa final'!$AA$49="Mayor"),CONCATENATE("R10C",'Mapa final'!$O$49),"")</f>
        <v/>
      </c>
      <c r="AH55" s="62" t="str">
        <f>IF(AND('Mapa final'!$Y$44="Muy Baja",'Mapa final'!$AA$44="Catastrófico"),CONCATENATE("R10C",'Mapa final'!$O$44),"")</f>
        <v/>
      </c>
      <c r="AI55" s="63" t="str">
        <f>IF(AND('Mapa final'!$Y$45="Muy Baja",'Mapa final'!$AA$45="Catastrófico"),CONCATENATE("R10C",'Mapa final'!$O$45),"")</f>
        <v/>
      </c>
      <c r="AJ55" s="63" t="str">
        <f>IF(AND('Mapa final'!$Y$46="Muy Baja",'Mapa final'!$AA$46="Catastrófico"),CONCATENATE("R10C",'Mapa final'!$O$46),"")</f>
        <v/>
      </c>
      <c r="AK55" s="63" t="str">
        <f>IF(AND('Mapa final'!$Y$47="Muy Baja",'Mapa final'!$AA$47="Catastrófico"),CONCATENATE("R10C",'Mapa final'!$O$47),"")</f>
        <v/>
      </c>
      <c r="AL55" s="63" t="str">
        <f>IF(AND('Mapa final'!$Y$48="Muy Baja",'Mapa final'!$AA$48="Catastrófico"),CONCATENATE("R10C",'Mapa final'!$O$48),"")</f>
        <v/>
      </c>
      <c r="AM55" s="64" t="str">
        <f>IF(AND('Mapa final'!$Y$49="Muy Baja",'Mapa final'!$AA$49="Catastrófico"),CONCATENATE("R10C",'Mapa final'!$O$49),"")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373" t="s">
        <v>112</v>
      </c>
      <c r="K56" s="374"/>
      <c r="L56" s="374"/>
      <c r="M56" s="374"/>
      <c r="N56" s="374"/>
      <c r="O56" s="392"/>
      <c r="P56" s="373" t="s">
        <v>111</v>
      </c>
      <c r="Q56" s="374"/>
      <c r="R56" s="374"/>
      <c r="S56" s="374"/>
      <c r="T56" s="374"/>
      <c r="U56" s="392"/>
      <c r="V56" s="373" t="s">
        <v>110</v>
      </c>
      <c r="W56" s="374"/>
      <c r="X56" s="374"/>
      <c r="Y56" s="374"/>
      <c r="Z56" s="374"/>
      <c r="AA56" s="392"/>
      <c r="AB56" s="373" t="s">
        <v>109</v>
      </c>
      <c r="AC56" s="413"/>
      <c r="AD56" s="374"/>
      <c r="AE56" s="374"/>
      <c r="AF56" s="374"/>
      <c r="AG56" s="392"/>
      <c r="AH56" s="373" t="s">
        <v>108</v>
      </c>
      <c r="AI56" s="374"/>
      <c r="AJ56" s="374"/>
      <c r="AK56" s="374"/>
      <c r="AL56" s="374"/>
      <c r="AM56" s="392"/>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377"/>
      <c r="K57" s="378"/>
      <c r="L57" s="378"/>
      <c r="M57" s="378"/>
      <c r="N57" s="378"/>
      <c r="O57" s="393"/>
      <c r="P57" s="377"/>
      <c r="Q57" s="378"/>
      <c r="R57" s="378"/>
      <c r="S57" s="378"/>
      <c r="T57" s="378"/>
      <c r="U57" s="393"/>
      <c r="V57" s="377"/>
      <c r="W57" s="378"/>
      <c r="X57" s="378"/>
      <c r="Y57" s="378"/>
      <c r="Z57" s="378"/>
      <c r="AA57" s="393"/>
      <c r="AB57" s="377"/>
      <c r="AC57" s="378"/>
      <c r="AD57" s="378"/>
      <c r="AE57" s="378"/>
      <c r="AF57" s="378"/>
      <c r="AG57" s="393"/>
      <c r="AH57" s="377"/>
      <c r="AI57" s="378"/>
      <c r="AJ57" s="378"/>
      <c r="AK57" s="378"/>
      <c r="AL57" s="378"/>
      <c r="AM57" s="39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377"/>
      <c r="K58" s="378"/>
      <c r="L58" s="378"/>
      <c r="M58" s="378"/>
      <c r="N58" s="378"/>
      <c r="O58" s="393"/>
      <c r="P58" s="377"/>
      <c r="Q58" s="378"/>
      <c r="R58" s="378"/>
      <c r="S58" s="378"/>
      <c r="T58" s="378"/>
      <c r="U58" s="393"/>
      <c r="V58" s="377"/>
      <c r="W58" s="378"/>
      <c r="X58" s="378"/>
      <c r="Y58" s="378"/>
      <c r="Z58" s="378"/>
      <c r="AA58" s="393"/>
      <c r="AB58" s="377"/>
      <c r="AC58" s="378"/>
      <c r="AD58" s="378"/>
      <c r="AE58" s="378"/>
      <c r="AF58" s="378"/>
      <c r="AG58" s="393"/>
      <c r="AH58" s="377"/>
      <c r="AI58" s="378"/>
      <c r="AJ58" s="378"/>
      <c r="AK58" s="378"/>
      <c r="AL58" s="378"/>
      <c r="AM58" s="39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377"/>
      <c r="K59" s="378"/>
      <c r="L59" s="378"/>
      <c r="M59" s="378"/>
      <c r="N59" s="378"/>
      <c r="O59" s="393"/>
      <c r="P59" s="377"/>
      <c r="Q59" s="378"/>
      <c r="R59" s="378"/>
      <c r="S59" s="378"/>
      <c r="T59" s="378"/>
      <c r="U59" s="393"/>
      <c r="V59" s="377"/>
      <c r="W59" s="378"/>
      <c r="X59" s="378"/>
      <c r="Y59" s="378"/>
      <c r="Z59" s="378"/>
      <c r="AA59" s="393"/>
      <c r="AB59" s="377"/>
      <c r="AC59" s="378"/>
      <c r="AD59" s="378"/>
      <c r="AE59" s="378"/>
      <c r="AF59" s="378"/>
      <c r="AG59" s="393"/>
      <c r="AH59" s="377"/>
      <c r="AI59" s="378"/>
      <c r="AJ59" s="378"/>
      <c r="AK59" s="378"/>
      <c r="AL59" s="378"/>
      <c r="AM59" s="39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377"/>
      <c r="K60" s="378"/>
      <c r="L60" s="378"/>
      <c r="M60" s="378"/>
      <c r="N60" s="378"/>
      <c r="O60" s="393"/>
      <c r="P60" s="377"/>
      <c r="Q60" s="378"/>
      <c r="R60" s="378"/>
      <c r="S60" s="378"/>
      <c r="T60" s="378"/>
      <c r="U60" s="393"/>
      <c r="V60" s="377"/>
      <c r="W60" s="378"/>
      <c r="X60" s="378"/>
      <c r="Y60" s="378"/>
      <c r="Z60" s="378"/>
      <c r="AA60" s="393"/>
      <c r="AB60" s="377"/>
      <c r="AC60" s="378"/>
      <c r="AD60" s="378"/>
      <c r="AE60" s="378"/>
      <c r="AF60" s="378"/>
      <c r="AG60" s="393"/>
      <c r="AH60" s="377"/>
      <c r="AI60" s="378"/>
      <c r="AJ60" s="378"/>
      <c r="AK60" s="378"/>
      <c r="AL60" s="378"/>
      <c r="AM60" s="393"/>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 thickBot="1" x14ac:dyDescent="0.45">
      <c r="A61" s="84"/>
      <c r="B61" s="84"/>
      <c r="C61" s="84"/>
      <c r="D61" s="84"/>
      <c r="E61" s="84"/>
      <c r="F61" s="84"/>
      <c r="G61" s="84"/>
      <c r="H61" s="84"/>
      <c r="I61" s="84"/>
      <c r="J61" s="379"/>
      <c r="K61" s="380"/>
      <c r="L61" s="380"/>
      <c r="M61" s="380"/>
      <c r="N61" s="380"/>
      <c r="O61" s="394"/>
      <c r="P61" s="379"/>
      <c r="Q61" s="380"/>
      <c r="R61" s="380"/>
      <c r="S61" s="380"/>
      <c r="T61" s="380"/>
      <c r="U61" s="394"/>
      <c r="V61" s="379"/>
      <c r="W61" s="380"/>
      <c r="X61" s="380"/>
      <c r="Y61" s="380"/>
      <c r="Z61" s="380"/>
      <c r="AA61" s="394"/>
      <c r="AB61" s="379"/>
      <c r="AC61" s="380"/>
      <c r="AD61" s="380"/>
      <c r="AE61" s="380"/>
      <c r="AF61" s="380"/>
      <c r="AG61" s="394"/>
      <c r="AH61" s="379"/>
      <c r="AI61" s="380"/>
      <c r="AJ61" s="380"/>
      <c r="AK61" s="380"/>
      <c r="AL61" s="380"/>
      <c r="AM61" s="39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4">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4">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4">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4">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4">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4">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4">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4">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4">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4">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4">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4">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4">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4">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4">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4">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4">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4">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4">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4">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4">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4">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4">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4">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4">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4">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4">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4">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4">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4">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4">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4">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4">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4">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4">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4">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4">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4">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4">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4">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4">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4">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4">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4">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4">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4">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4">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4">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4">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4">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4">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4">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4">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4">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4">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4">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4">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4">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4">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4">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4">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4">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4">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4">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4">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4">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4">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4">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4">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4">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4">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4">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4">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4">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4">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4">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4">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4">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4">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4">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4">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4">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4">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4">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4">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4">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4">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4">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4">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4">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4">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4">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4">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4">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4">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4">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4">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4">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4">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4">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4">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4">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4">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4">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4">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4">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4">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4">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4">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4">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4">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4">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4">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4">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4">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4">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4">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4">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4">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4">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4">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4">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4">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4">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4">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4">
      <c r="A245" s="84"/>
    </row>
    <row r="246" spans="1:60" x14ac:dyDescent="0.4">
      <c r="A246" s="84"/>
    </row>
    <row r="247" spans="1:60" x14ac:dyDescent="0.4">
      <c r="A247" s="84"/>
    </row>
    <row r="248" spans="1:60" x14ac:dyDescent="0.4">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4.6" x14ac:dyDescent="0.4"/>
  <cols>
    <col min="2" max="2" width="24.15234375" customWidth="1"/>
    <col min="3" max="3" width="70.15234375" customWidth="1"/>
    <col min="4" max="4" width="29.84375" customWidth="1"/>
  </cols>
  <sheetData>
    <row r="1" spans="1:37" ht="22.3" x14ac:dyDescent="0.4">
      <c r="A1" s="84"/>
      <c r="B1" s="414" t="s">
        <v>55</v>
      </c>
      <c r="C1" s="414"/>
      <c r="D1" s="414"/>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4">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4.9" x14ac:dyDescent="0.4">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49.75" x14ac:dyDescent="0.4">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49.75" x14ac:dyDescent="0.4">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49.75" x14ac:dyDescent="0.4">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4.599999999999994" x14ac:dyDescent="0.4">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49.75" x14ac:dyDescent="0.4">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4">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x14ac:dyDescent="0.4">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4">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4">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4">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4">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4">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4">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4">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4">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4">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4">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4">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4">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4">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4">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4">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4">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4">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4">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4">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4">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4">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4">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4">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4">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4">
      <c r="A35" s="84"/>
    </row>
    <row r="36" spans="1:31" x14ac:dyDescent="0.4">
      <c r="A36" s="84"/>
    </row>
    <row r="37" spans="1:31" x14ac:dyDescent="0.4">
      <c r="A37" s="84"/>
    </row>
    <row r="38" spans="1:31" x14ac:dyDescent="0.4">
      <c r="A38" s="84"/>
    </row>
    <row r="39" spans="1:31" x14ac:dyDescent="0.4">
      <c r="A39" s="84"/>
    </row>
    <row r="40" spans="1:31" x14ac:dyDescent="0.4">
      <c r="A40" s="84"/>
    </row>
    <row r="41" spans="1:31" x14ac:dyDescent="0.4">
      <c r="A41" s="84"/>
    </row>
    <row r="42" spans="1:31" x14ac:dyDescent="0.4">
      <c r="A42" s="84"/>
    </row>
    <row r="43" spans="1:31" x14ac:dyDescent="0.4">
      <c r="A43" s="84"/>
    </row>
    <row r="44" spans="1:31" x14ac:dyDescent="0.4">
      <c r="A44" s="84"/>
    </row>
    <row r="45" spans="1:31" x14ac:dyDescent="0.4">
      <c r="A45" s="84"/>
    </row>
    <row r="46" spans="1:31" x14ac:dyDescent="0.4">
      <c r="A46" s="84"/>
    </row>
    <row r="47" spans="1:31" x14ac:dyDescent="0.4">
      <c r="A47" s="84"/>
    </row>
    <row r="48" spans="1:31" x14ac:dyDescent="0.4">
      <c r="A48" s="84"/>
    </row>
    <row r="49" spans="1:1" x14ac:dyDescent="0.4">
      <c r="A49" s="84"/>
    </row>
    <row r="50" spans="1:1" x14ac:dyDescent="0.4">
      <c r="A50" s="84"/>
    </row>
    <row r="51" spans="1:1" x14ac:dyDescent="0.4">
      <c r="A51" s="84"/>
    </row>
    <row r="52" spans="1:1" x14ac:dyDescent="0.4">
      <c r="A52" s="84"/>
    </row>
    <row r="53" spans="1:1" x14ac:dyDescent="0.4">
      <c r="A53" s="84"/>
    </row>
    <row r="54" spans="1:1" x14ac:dyDescent="0.4">
      <c r="A54" s="84"/>
    </row>
    <row r="55" spans="1:1" x14ac:dyDescent="0.4">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6" x14ac:dyDescent="0.4"/>
  <cols>
    <col min="2" max="2" width="40.3828125" customWidth="1"/>
    <col min="3" max="3" width="74.84375" customWidth="1"/>
    <col min="4" max="4" width="135" bestFit="1" customWidth="1"/>
    <col min="5" max="5" width="144.69140625" bestFit="1" customWidth="1"/>
  </cols>
  <sheetData>
    <row r="1" spans="1:21" ht="32.6" x14ac:dyDescent="0.4">
      <c r="A1" s="84"/>
      <c r="B1" s="415" t="s">
        <v>63</v>
      </c>
      <c r="C1" s="415"/>
      <c r="D1" s="415"/>
      <c r="E1" s="84"/>
      <c r="F1" s="84"/>
      <c r="G1" s="84"/>
      <c r="H1" s="84"/>
      <c r="I1" s="84"/>
      <c r="J1" s="84"/>
      <c r="K1" s="84"/>
      <c r="L1" s="84"/>
      <c r="M1" s="84"/>
      <c r="N1" s="84"/>
      <c r="O1" s="84"/>
      <c r="P1" s="84"/>
      <c r="Q1" s="84"/>
      <c r="R1" s="84"/>
      <c r="S1" s="84"/>
      <c r="T1" s="84"/>
      <c r="U1" s="84"/>
    </row>
    <row r="2" spans="1:21" x14ac:dyDescent="0.4">
      <c r="A2" s="84"/>
      <c r="B2" s="84"/>
      <c r="C2" s="84"/>
      <c r="D2" s="84"/>
      <c r="E2" s="84"/>
      <c r="F2" s="84"/>
      <c r="G2" s="84"/>
      <c r="H2" s="84"/>
      <c r="I2" s="84"/>
      <c r="J2" s="84"/>
      <c r="K2" s="84"/>
      <c r="L2" s="84"/>
      <c r="M2" s="84"/>
      <c r="N2" s="84"/>
      <c r="O2" s="84"/>
      <c r="P2" s="84"/>
      <c r="Q2" s="84"/>
      <c r="R2" s="84"/>
      <c r="S2" s="84"/>
      <c r="T2" s="84"/>
      <c r="U2" s="84"/>
    </row>
    <row r="3" spans="1:21" ht="30" x14ac:dyDescent="0.4">
      <c r="A3" s="84"/>
      <c r="B3" s="105"/>
      <c r="C3" s="36" t="s">
        <v>56</v>
      </c>
      <c r="D3" s="36" t="s">
        <v>57</v>
      </c>
      <c r="E3" s="84"/>
      <c r="F3" s="84"/>
      <c r="G3" s="84"/>
      <c r="H3" s="84"/>
      <c r="I3" s="84"/>
      <c r="J3" s="84"/>
      <c r="K3" s="84"/>
      <c r="L3" s="84"/>
      <c r="M3" s="84"/>
      <c r="N3" s="84"/>
      <c r="O3" s="84"/>
      <c r="P3" s="84"/>
      <c r="Q3" s="84"/>
      <c r="R3" s="84"/>
      <c r="S3" s="84"/>
      <c r="T3" s="84"/>
      <c r="U3" s="84"/>
    </row>
    <row r="4" spans="1:21" ht="32.6" x14ac:dyDescent="0.4">
      <c r="A4" s="104" t="s">
        <v>83</v>
      </c>
      <c r="B4" s="39" t="s">
        <v>101</v>
      </c>
      <c r="C4" s="44" t="s">
        <v>158</v>
      </c>
      <c r="D4" s="37" t="s">
        <v>97</v>
      </c>
      <c r="E4" s="84"/>
      <c r="F4" s="84"/>
      <c r="G4" s="84"/>
      <c r="H4" s="84"/>
      <c r="I4" s="84"/>
      <c r="J4" s="84"/>
      <c r="K4" s="84"/>
      <c r="L4" s="84"/>
      <c r="M4" s="84"/>
      <c r="N4" s="84"/>
      <c r="O4" s="84"/>
      <c r="P4" s="84"/>
      <c r="Q4" s="84"/>
      <c r="R4" s="84"/>
      <c r="S4" s="84"/>
      <c r="T4" s="84"/>
      <c r="U4" s="84"/>
    </row>
    <row r="5" spans="1:21" ht="65.150000000000006" x14ac:dyDescent="0.4">
      <c r="A5" s="104" t="s">
        <v>84</v>
      </c>
      <c r="B5" s="40" t="s">
        <v>59</v>
      </c>
      <c r="C5" s="45" t="s">
        <v>93</v>
      </c>
      <c r="D5" s="38" t="s">
        <v>98</v>
      </c>
      <c r="E5" s="84"/>
      <c r="F5" s="84"/>
      <c r="G5" s="84"/>
      <c r="H5" s="84"/>
      <c r="I5" s="84"/>
      <c r="J5" s="84"/>
      <c r="K5" s="84"/>
      <c r="L5" s="84"/>
      <c r="M5" s="84"/>
      <c r="N5" s="84"/>
      <c r="O5" s="84"/>
      <c r="P5" s="84"/>
      <c r="Q5" s="84"/>
      <c r="R5" s="84"/>
      <c r="S5" s="84"/>
      <c r="T5" s="84"/>
      <c r="U5" s="84"/>
    </row>
    <row r="6" spans="1:21" ht="65.150000000000006" x14ac:dyDescent="0.4">
      <c r="A6" s="104" t="s">
        <v>81</v>
      </c>
      <c r="B6" s="41" t="s">
        <v>60</v>
      </c>
      <c r="C6" s="45" t="s">
        <v>94</v>
      </c>
      <c r="D6" s="38" t="s">
        <v>100</v>
      </c>
      <c r="E6" s="84"/>
      <c r="F6" s="84"/>
      <c r="G6" s="84"/>
      <c r="H6" s="84"/>
      <c r="I6" s="84"/>
      <c r="J6" s="84"/>
      <c r="K6" s="84"/>
      <c r="L6" s="84"/>
      <c r="M6" s="84"/>
      <c r="N6" s="84"/>
      <c r="O6" s="84"/>
      <c r="P6" s="84"/>
      <c r="Q6" s="84"/>
      <c r="R6" s="84"/>
      <c r="S6" s="84"/>
      <c r="T6" s="84"/>
      <c r="U6" s="84"/>
    </row>
    <row r="7" spans="1:21" ht="65.150000000000006" x14ac:dyDescent="0.4">
      <c r="A7" s="104" t="s">
        <v>7</v>
      </c>
      <c r="B7" s="42" t="s">
        <v>61</v>
      </c>
      <c r="C7" s="45" t="s">
        <v>95</v>
      </c>
      <c r="D7" s="38" t="s">
        <v>99</v>
      </c>
      <c r="E7" s="84"/>
      <c r="F7" s="84"/>
      <c r="G7" s="84"/>
      <c r="H7" s="84"/>
      <c r="I7" s="84"/>
      <c r="J7" s="84"/>
      <c r="K7" s="84"/>
      <c r="L7" s="84"/>
      <c r="M7" s="84"/>
      <c r="N7" s="84"/>
      <c r="O7" s="84"/>
      <c r="P7" s="84"/>
      <c r="Q7" s="84"/>
      <c r="R7" s="84"/>
      <c r="S7" s="84"/>
      <c r="T7" s="84"/>
      <c r="U7" s="84"/>
    </row>
    <row r="8" spans="1:21" ht="65.150000000000006" x14ac:dyDescent="0.4">
      <c r="A8" s="104" t="s">
        <v>85</v>
      </c>
      <c r="B8" s="43" t="s">
        <v>62</v>
      </c>
      <c r="C8" s="45" t="s">
        <v>96</v>
      </c>
      <c r="D8" s="38" t="s">
        <v>118</v>
      </c>
      <c r="E8" s="84"/>
      <c r="F8" s="84"/>
      <c r="G8" s="84"/>
      <c r="H8" s="84"/>
      <c r="I8" s="84"/>
      <c r="J8" s="84"/>
      <c r="K8" s="84"/>
      <c r="L8" s="84"/>
      <c r="M8" s="84"/>
      <c r="N8" s="84"/>
      <c r="O8" s="84"/>
      <c r="P8" s="84"/>
      <c r="Q8" s="84"/>
      <c r="R8" s="84"/>
      <c r="S8" s="84"/>
      <c r="T8" s="84"/>
      <c r="U8" s="84"/>
    </row>
    <row r="9" spans="1:21" ht="20.149999999999999" x14ac:dyDescent="0.4">
      <c r="A9" s="104"/>
      <c r="B9" s="104"/>
      <c r="C9" s="106"/>
      <c r="D9" s="106"/>
      <c r="E9" s="84"/>
      <c r="F9" s="84"/>
      <c r="G9" s="84"/>
      <c r="H9" s="84"/>
      <c r="I9" s="84"/>
      <c r="J9" s="84"/>
      <c r="K9" s="84"/>
      <c r="L9" s="84"/>
      <c r="M9" s="84"/>
      <c r="N9" s="84"/>
      <c r="O9" s="84"/>
      <c r="P9" s="84"/>
      <c r="Q9" s="84"/>
      <c r="R9" s="84"/>
      <c r="S9" s="84"/>
      <c r="T9" s="84"/>
      <c r="U9" s="84"/>
    </row>
    <row r="10" spans="1:21" x14ac:dyDescent="0.4">
      <c r="A10" s="104"/>
      <c r="B10" s="107"/>
      <c r="C10" s="107"/>
      <c r="D10" s="107"/>
      <c r="E10" s="84"/>
      <c r="F10" s="84"/>
      <c r="G10" s="84"/>
      <c r="H10" s="84"/>
      <c r="I10" s="84"/>
      <c r="J10" s="84"/>
      <c r="K10" s="84"/>
      <c r="L10" s="84"/>
      <c r="M10" s="84"/>
      <c r="N10" s="84"/>
      <c r="O10" s="84"/>
      <c r="P10" s="84"/>
      <c r="Q10" s="84"/>
      <c r="R10" s="84"/>
      <c r="S10" s="84"/>
      <c r="T10" s="84"/>
      <c r="U10" s="84"/>
    </row>
    <row r="11" spans="1:21" x14ac:dyDescent="0.4">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4">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4">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4">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4">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4">
      <c r="A16" s="104"/>
      <c r="B16" s="104"/>
      <c r="C16" s="104"/>
      <c r="D16" s="104"/>
      <c r="E16" s="84"/>
      <c r="F16" s="84"/>
      <c r="G16" s="84"/>
      <c r="H16" s="84"/>
      <c r="I16" s="84"/>
      <c r="J16" s="84"/>
      <c r="K16" s="84"/>
      <c r="L16" s="84"/>
      <c r="M16" s="84"/>
      <c r="N16" s="84"/>
      <c r="O16" s="84"/>
    </row>
    <row r="17" spans="1:15" x14ac:dyDescent="0.4">
      <c r="A17" s="104"/>
      <c r="B17" s="104"/>
      <c r="C17" s="104"/>
      <c r="D17" s="104"/>
      <c r="E17" s="84"/>
      <c r="F17" s="84"/>
      <c r="G17" s="84"/>
      <c r="H17" s="84"/>
      <c r="I17" s="84"/>
      <c r="J17" s="84"/>
      <c r="K17" s="84"/>
      <c r="L17" s="84"/>
      <c r="M17" s="84"/>
      <c r="N17" s="84"/>
      <c r="O17" s="84"/>
    </row>
    <row r="18" spans="1:15" x14ac:dyDescent="0.4">
      <c r="A18" s="104"/>
      <c r="B18" s="108"/>
      <c r="C18" s="108"/>
      <c r="D18" s="108"/>
      <c r="E18" s="84"/>
      <c r="F18" s="84"/>
      <c r="G18" s="84"/>
      <c r="H18" s="84"/>
      <c r="I18" s="84"/>
      <c r="J18" s="84"/>
      <c r="K18" s="84"/>
      <c r="L18" s="84"/>
      <c r="M18" s="84"/>
      <c r="N18" s="84"/>
      <c r="O18" s="84"/>
    </row>
    <row r="19" spans="1:15" x14ac:dyDescent="0.4">
      <c r="A19" s="104"/>
      <c r="B19" s="108"/>
      <c r="C19" s="108"/>
      <c r="D19" s="108"/>
      <c r="E19" s="84"/>
      <c r="F19" s="84"/>
      <c r="G19" s="84"/>
      <c r="H19" s="84"/>
      <c r="I19" s="84"/>
      <c r="J19" s="84"/>
      <c r="K19" s="84"/>
      <c r="L19" s="84"/>
      <c r="M19" s="84"/>
      <c r="N19" s="84"/>
      <c r="O19" s="84"/>
    </row>
    <row r="20" spans="1:15" x14ac:dyDescent="0.4">
      <c r="A20" s="104"/>
      <c r="B20" s="108"/>
      <c r="C20" s="108"/>
      <c r="D20" s="108"/>
      <c r="E20" s="84"/>
      <c r="F20" s="84"/>
      <c r="G20" s="84"/>
      <c r="H20" s="84"/>
      <c r="I20" s="84"/>
      <c r="J20" s="84"/>
      <c r="K20" s="84"/>
      <c r="L20" s="84"/>
      <c r="M20" s="84"/>
      <c r="N20" s="84"/>
      <c r="O20" s="84"/>
    </row>
    <row r="21" spans="1:15" x14ac:dyDescent="0.4">
      <c r="A21" s="104"/>
      <c r="B21" s="108"/>
      <c r="C21" s="108"/>
      <c r="D21" s="108"/>
      <c r="E21" s="84"/>
      <c r="F21" s="84"/>
      <c r="G21" s="84"/>
      <c r="H21" s="84"/>
      <c r="I21" s="84"/>
      <c r="J21" s="84"/>
      <c r="K21" s="84"/>
      <c r="L21" s="84"/>
      <c r="M21" s="84"/>
      <c r="N21" s="84"/>
      <c r="O21" s="84"/>
    </row>
    <row r="22" spans="1:15" ht="20.149999999999999" x14ac:dyDescent="0.4">
      <c r="A22" s="104"/>
      <c r="B22" s="104"/>
      <c r="C22" s="106"/>
      <c r="D22" s="106"/>
      <c r="E22" s="84"/>
      <c r="F22" s="84"/>
      <c r="G22" s="84"/>
      <c r="H22" s="84"/>
      <c r="I22" s="84"/>
      <c r="J22" s="84"/>
      <c r="K22" s="84"/>
      <c r="L22" s="84"/>
      <c r="M22" s="84"/>
      <c r="N22" s="84"/>
      <c r="O22" s="84"/>
    </row>
    <row r="23" spans="1:15" ht="20.149999999999999" x14ac:dyDescent="0.4">
      <c r="A23" s="104"/>
      <c r="B23" s="104"/>
      <c r="C23" s="106"/>
      <c r="D23" s="106"/>
      <c r="E23" s="84"/>
      <c r="F23" s="84"/>
      <c r="G23" s="84"/>
      <c r="H23" s="84"/>
      <c r="I23" s="84"/>
      <c r="J23" s="84"/>
      <c r="K23" s="84"/>
      <c r="L23" s="84"/>
      <c r="M23" s="84"/>
      <c r="N23" s="84"/>
      <c r="O23" s="84"/>
    </row>
    <row r="24" spans="1:15" ht="20.149999999999999" x14ac:dyDescent="0.4">
      <c r="A24" s="104"/>
      <c r="B24" s="104"/>
      <c r="C24" s="106"/>
      <c r="D24" s="106"/>
      <c r="E24" s="84"/>
      <c r="F24" s="84"/>
      <c r="G24" s="84"/>
      <c r="H24" s="84"/>
      <c r="I24" s="84"/>
      <c r="J24" s="84"/>
      <c r="K24" s="84"/>
      <c r="L24" s="84"/>
      <c r="M24" s="84"/>
      <c r="N24" s="84"/>
      <c r="O24" s="84"/>
    </row>
    <row r="25" spans="1:15" ht="20.149999999999999" x14ac:dyDescent="0.4">
      <c r="A25" s="104"/>
      <c r="B25" s="104"/>
      <c r="C25" s="106"/>
      <c r="D25" s="106"/>
      <c r="E25" s="84"/>
      <c r="F25" s="84"/>
      <c r="G25" s="84"/>
      <c r="H25" s="84"/>
      <c r="I25" s="84"/>
      <c r="J25" s="84"/>
      <c r="K25" s="84"/>
      <c r="L25" s="84"/>
      <c r="M25" s="84"/>
      <c r="N25" s="84"/>
      <c r="O25" s="84"/>
    </row>
    <row r="26" spans="1:15" ht="20.149999999999999" x14ac:dyDescent="0.4">
      <c r="A26" s="104"/>
      <c r="B26" s="104"/>
      <c r="C26" s="106"/>
      <c r="D26" s="106"/>
      <c r="E26" s="84"/>
      <c r="F26" s="84"/>
      <c r="G26" s="84"/>
      <c r="H26" s="84"/>
      <c r="I26" s="84"/>
      <c r="J26" s="84"/>
      <c r="K26" s="84"/>
      <c r="L26" s="84"/>
      <c r="M26" s="84"/>
      <c r="N26" s="84"/>
      <c r="O26" s="84"/>
    </row>
    <row r="27" spans="1:15" ht="20.149999999999999" x14ac:dyDescent="0.4">
      <c r="A27" s="104"/>
      <c r="B27" s="104"/>
      <c r="C27" s="106"/>
      <c r="D27" s="106"/>
      <c r="E27" s="84"/>
      <c r="F27" s="84"/>
      <c r="G27" s="84"/>
      <c r="H27" s="84"/>
      <c r="I27" s="84"/>
      <c r="J27" s="84"/>
      <c r="K27" s="84"/>
      <c r="L27" s="84"/>
      <c r="M27" s="84"/>
      <c r="N27" s="84"/>
      <c r="O27" s="84"/>
    </row>
    <row r="28" spans="1:15" ht="20.149999999999999" x14ac:dyDescent="0.4">
      <c r="A28" s="104"/>
      <c r="B28" s="104"/>
      <c r="C28" s="106"/>
      <c r="D28" s="106"/>
      <c r="E28" s="84"/>
      <c r="F28" s="84"/>
      <c r="G28" s="84"/>
      <c r="H28" s="84"/>
      <c r="I28" s="84"/>
      <c r="J28" s="84"/>
      <c r="K28" s="84"/>
      <c r="L28" s="84"/>
      <c r="M28" s="84"/>
      <c r="N28" s="84"/>
      <c r="O28" s="84"/>
    </row>
    <row r="29" spans="1:15" ht="20.149999999999999" x14ac:dyDescent="0.4">
      <c r="A29" s="104"/>
      <c r="B29" s="104"/>
      <c r="C29" s="106"/>
      <c r="D29" s="106"/>
      <c r="E29" s="84"/>
      <c r="F29" s="84"/>
      <c r="G29" s="84"/>
      <c r="H29" s="84"/>
      <c r="I29" s="84"/>
      <c r="J29" s="84"/>
      <c r="K29" s="84"/>
      <c r="L29" s="84"/>
      <c r="M29" s="84"/>
      <c r="N29" s="84"/>
      <c r="O29" s="84"/>
    </row>
    <row r="30" spans="1:15" ht="20.149999999999999" x14ac:dyDescent="0.4">
      <c r="A30" s="104"/>
      <c r="B30" s="104"/>
      <c r="C30" s="106"/>
      <c r="D30" s="106"/>
      <c r="E30" s="84"/>
      <c r="F30" s="84"/>
      <c r="G30" s="84"/>
      <c r="H30" s="84"/>
      <c r="I30" s="84"/>
      <c r="J30" s="84"/>
      <c r="K30" s="84"/>
      <c r="L30" s="84"/>
      <c r="M30" s="84"/>
      <c r="N30" s="84"/>
      <c r="O30" s="84"/>
    </row>
    <row r="31" spans="1:15" ht="20.149999999999999" x14ac:dyDescent="0.4">
      <c r="A31" s="104"/>
      <c r="B31" s="104"/>
      <c r="C31" s="106"/>
      <c r="D31" s="106"/>
      <c r="E31" s="84"/>
      <c r="F31" s="84"/>
      <c r="G31" s="84"/>
      <c r="H31" s="84"/>
      <c r="I31" s="84"/>
      <c r="J31" s="84"/>
      <c r="K31" s="84"/>
      <c r="L31" s="84"/>
      <c r="M31" s="84"/>
      <c r="N31" s="84"/>
      <c r="O31" s="84"/>
    </row>
    <row r="32" spans="1:15" ht="20.149999999999999" x14ac:dyDescent="0.4">
      <c r="A32" s="104"/>
      <c r="B32" s="104"/>
      <c r="C32" s="106"/>
      <c r="D32" s="106"/>
      <c r="E32" s="84"/>
      <c r="F32" s="84"/>
      <c r="G32" s="84"/>
      <c r="H32" s="84"/>
      <c r="I32" s="84"/>
      <c r="J32" s="84"/>
      <c r="K32" s="84"/>
      <c r="L32" s="84"/>
      <c r="M32" s="84"/>
      <c r="N32" s="84"/>
      <c r="O32" s="84"/>
    </row>
    <row r="33" spans="1:15" ht="20.149999999999999" x14ac:dyDescent="0.4">
      <c r="A33" s="104"/>
      <c r="B33" s="104"/>
      <c r="C33" s="106"/>
      <c r="D33" s="106"/>
      <c r="E33" s="84"/>
      <c r="F33" s="84"/>
      <c r="G33" s="84"/>
      <c r="H33" s="84"/>
      <c r="I33" s="84"/>
      <c r="J33" s="84"/>
      <c r="K33" s="84"/>
      <c r="L33" s="84"/>
      <c r="M33" s="84"/>
      <c r="N33" s="84"/>
      <c r="O33" s="84"/>
    </row>
    <row r="34" spans="1:15" ht="20.149999999999999" x14ac:dyDescent="0.4">
      <c r="A34" s="104"/>
      <c r="B34" s="104"/>
      <c r="C34" s="106"/>
      <c r="D34" s="106"/>
      <c r="E34" s="84"/>
      <c r="F34" s="84"/>
      <c r="G34" s="84"/>
      <c r="H34" s="84"/>
      <c r="I34" s="84"/>
      <c r="J34" s="84"/>
      <c r="K34" s="84"/>
      <c r="L34" s="84"/>
      <c r="M34" s="84"/>
      <c r="N34" s="84"/>
      <c r="O34" s="84"/>
    </row>
    <row r="35" spans="1:15" ht="20.149999999999999" x14ac:dyDescent="0.4">
      <c r="A35" s="104"/>
      <c r="B35" s="104"/>
      <c r="C35" s="106"/>
      <c r="D35" s="106"/>
      <c r="E35" s="84"/>
      <c r="F35" s="84"/>
      <c r="G35" s="84"/>
      <c r="H35" s="84"/>
      <c r="I35" s="84"/>
      <c r="J35" s="84"/>
      <c r="K35" s="84"/>
      <c r="L35" s="84"/>
      <c r="M35" s="84"/>
      <c r="N35" s="84"/>
      <c r="O35" s="84"/>
    </row>
    <row r="36" spans="1:15" ht="20.149999999999999" x14ac:dyDescent="0.4">
      <c r="A36" s="104"/>
      <c r="B36" s="104"/>
      <c r="C36" s="106"/>
      <c r="D36" s="106"/>
      <c r="E36" s="84"/>
      <c r="F36" s="84"/>
      <c r="G36" s="84"/>
      <c r="H36" s="84"/>
      <c r="I36" s="84"/>
      <c r="J36" s="84"/>
      <c r="K36" s="84"/>
      <c r="L36" s="84"/>
      <c r="M36" s="84"/>
      <c r="N36" s="84"/>
      <c r="O36" s="84"/>
    </row>
    <row r="37" spans="1:15" ht="20.149999999999999" x14ac:dyDescent="0.4">
      <c r="A37" s="104"/>
      <c r="B37" s="104"/>
      <c r="C37" s="106"/>
      <c r="D37" s="106"/>
      <c r="E37" s="84"/>
      <c r="F37" s="84"/>
      <c r="G37" s="84"/>
      <c r="H37" s="84"/>
      <c r="I37" s="84"/>
      <c r="J37" s="84"/>
      <c r="K37" s="84"/>
      <c r="L37" s="84"/>
      <c r="M37" s="84"/>
      <c r="N37" s="84"/>
      <c r="O37" s="84"/>
    </row>
    <row r="38" spans="1:15" ht="20.149999999999999" x14ac:dyDescent="0.4">
      <c r="A38" s="104"/>
      <c r="B38" s="104"/>
      <c r="C38" s="106"/>
      <c r="D38" s="106"/>
      <c r="E38" s="84"/>
      <c r="F38" s="84"/>
      <c r="G38" s="84"/>
      <c r="H38" s="84"/>
      <c r="I38" s="84"/>
      <c r="J38" s="84"/>
      <c r="K38" s="84"/>
      <c r="L38" s="84"/>
      <c r="M38" s="84"/>
      <c r="N38" s="84"/>
      <c r="O38" s="84"/>
    </row>
    <row r="39" spans="1:15" ht="20.149999999999999" x14ac:dyDescent="0.4">
      <c r="A39" s="104"/>
      <c r="B39" s="104"/>
      <c r="C39" s="106"/>
      <c r="D39" s="106"/>
      <c r="E39" s="84"/>
      <c r="F39" s="84"/>
      <c r="G39" s="84"/>
      <c r="H39" s="84"/>
      <c r="I39" s="84"/>
      <c r="J39" s="84"/>
      <c r="K39" s="84"/>
      <c r="L39" s="84"/>
      <c r="M39" s="84"/>
      <c r="N39" s="84"/>
      <c r="O39" s="84"/>
    </row>
    <row r="40" spans="1:15" ht="20.149999999999999" x14ac:dyDescent="0.4">
      <c r="A40" s="104"/>
      <c r="B40" s="104"/>
      <c r="C40" s="106"/>
      <c r="D40" s="106"/>
      <c r="E40" s="84"/>
      <c r="F40" s="84"/>
      <c r="G40" s="84"/>
      <c r="H40" s="84"/>
      <c r="I40" s="84"/>
      <c r="J40" s="84"/>
      <c r="K40" s="84"/>
      <c r="L40" s="84"/>
      <c r="M40" s="84"/>
      <c r="N40" s="84"/>
      <c r="O40" s="84"/>
    </row>
    <row r="41" spans="1:15" ht="20.149999999999999" x14ac:dyDescent="0.4">
      <c r="A41" s="104"/>
      <c r="B41" s="104"/>
      <c r="C41" s="106"/>
      <c r="D41" s="106"/>
      <c r="E41" s="84"/>
      <c r="F41" s="84"/>
      <c r="G41" s="84"/>
      <c r="H41" s="84"/>
      <c r="I41" s="84"/>
      <c r="J41" s="84"/>
      <c r="K41" s="84"/>
      <c r="L41" s="84"/>
      <c r="M41" s="84"/>
      <c r="N41" s="84"/>
      <c r="O41" s="84"/>
    </row>
    <row r="42" spans="1:15" ht="20.149999999999999" x14ac:dyDescent="0.4">
      <c r="A42" s="104"/>
      <c r="B42" s="104"/>
      <c r="C42" s="106"/>
      <c r="D42" s="106"/>
      <c r="E42" s="84"/>
      <c r="F42" s="84"/>
      <c r="G42" s="84"/>
      <c r="H42" s="84"/>
      <c r="I42" s="84"/>
      <c r="J42" s="84"/>
      <c r="K42" s="84"/>
      <c r="L42" s="84"/>
      <c r="M42" s="84"/>
      <c r="N42" s="84"/>
      <c r="O42" s="84"/>
    </row>
    <row r="43" spans="1:15" ht="20.149999999999999" x14ac:dyDescent="0.4">
      <c r="A43" s="104"/>
      <c r="B43" s="104"/>
      <c r="C43" s="106"/>
      <c r="D43" s="106"/>
      <c r="E43" s="84"/>
      <c r="F43" s="84"/>
      <c r="G43" s="84"/>
      <c r="H43" s="84"/>
      <c r="I43" s="84"/>
      <c r="J43" s="84"/>
      <c r="K43" s="84"/>
      <c r="L43" s="84"/>
      <c r="M43" s="84"/>
      <c r="N43" s="84"/>
      <c r="O43" s="84"/>
    </row>
    <row r="44" spans="1:15" ht="20.149999999999999" x14ac:dyDescent="0.4">
      <c r="A44" s="104"/>
      <c r="B44" s="104"/>
      <c r="C44" s="106"/>
      <c r="D44" s="106"/>
      <c r="E44" s="84"/>
      <c r="F44" s="84"/>
      <c r="G44" s="84"/>
      <c r="H44" s="84"/>
      <c r="I44" s="84"/>
      <c r="J44" s="84"/>
      <c r="K44" s="84"/>
      <c r="L44" s="84"/>
      <c r="M44" s="84"/>
      <c r="N44" s="84"/>
      <c r="O44" s="84"/>
    </row>
    <row r="45" spans="1:15" ht="20.149999999999999" x14ac:dyDescent="0.4">
      <c r="A45" s="104"/>
      <c r="B45" s="104"/>
      <c r="C45" s="106"/>
      <c r="D45" s="106"/>
      <c r="E45" s="84"/>
      <c r="F45" s="84"/>
      <c r="G45" s="84"/>
      <c r="H45" s="84"/>
      <c r="I45" s="84"/>
      <c r="J45" s="84"/>
      <c r="K45" s="84"/>
      <c r="L45" s="84"/>
      <c r="M45" s="84"/>
      <c r="N45" s="84"/>
      <c r="O45" s="84"/>
    </row>
    <row r="46" spans="1:15" ht="20.149999999999999" x14ac:dyDescent="0.4">
      <c r="A46" s="104"/>
      <c r="B46" s="104"/>
      <c r="C46" s="106"/>
      <c r="D46" s="106"/>
      <c r="E46" s="84"/>
      <c r="F46" s="84"/>
      <c r="G46" s="84"/>
      <c r="H46" s="84"/>
      <c r="I46" s="84"/>
      <c r="J46" s="84"/>
      <c r="K46" s="84"/>
      <c r="L46" s="84"/>
      <c r="M46" s="84"/>
      <c r="N46" s="84"/>
      <c r="O46" s="84"/>
    </row>
    <row r="47" spans="1:15" ht="20.149999999999999" x14ac:dyDescent="0.4">
      <c r="A47" s="104"/>
      <c r="B47" s="104"/>
      <c r="C47" s="106"/>
      <c r="D47" s="106"/>
      <c r="E47" s="84"/>
      <c r="F47" s="84"/>
      <c r="G47" s="84"/>
      <c r="H47" s="84"/>
      <c r="I47" s="84"/>
      <c r="J47" s="84"/>
      <c r="K47" s="84"/>
      <c r="L47" s="84"/>
      <c r="M47" s="84"/>
      <c r="N47" s="84"/>
      <c r="O47" s="84"/>
    </row>
    <row r="48" spans="1:15" ht="20.149999999999999" x14ac:dyDescent="0.4">
      <c r="A48" s="104"/>
      <c r="B48" s="104"/>
      <c r="C48" s="106"/>
      <c r="D48" s="106"/>
      <c r="E48" s="84"/>
      <c r="F48" s="84"/>
      <c r="G48" s="84"/>
      <c r="H48" s="84"/>
      <c r="I48" s="84"/>
      <c r="J48" s="84"/>
      <c r="K48" s="84"/>
      <c r="L48" s="84"/>
      <c r="M48" s="84"/>
      <c r="N48" s="84"/>
      <c r="O48" s="84"/>
    </row>
    <row r="49" spans="1:15" ht="20.149999999999999" x14ac:dyDescent="0.4">
      <c r="A49" s="104"/>
      <c r="B49" s="104"/>
      <c r="C49" s="106"/>
      <c r="D49" s="106"/>
      <c r="E49" s="84"/>
      <c r="F49" s="84"/>
      <c r="G49" s="84"/>
      <c r="H49" s="84"/>
      <c r="I49" s="84"/>
      <c r="J49" s="84"/>
      <c r="K49" s="84"/>
      <c r="L49" s="84"/>
      <c r="M49" s="84"/>
      <c r="N49" s="84"/>
      <c r="O49" s="84"/>
    </row>
    <row r="50" spans="1:15" ht="20.149999999999999" x14ac:dyDescent="0.4">
      <c r="A50" s="104"/>
      <c r="B50" s="104"/>
      <c r="C50" s="106"/>
      <c r="D50" s="106"/>
      <c r="E50" s="84"/>
      <c r="F50" s="84"/>
      <c r="G50" s="84"/>
      <c r="H50" s="84"/>
      <c r="I50" s="84"/>
      <c r="J50" s="84"/>
      <c r="K50" s="84"/>
      <c r="L50" s="84"/>
      <c r="M50" s="84"/>
      <c r="N50" s="84"/>
      <c r="O50" s="84"/>
    </row>
    <row r="51" spans="1:15" ht="20.149999999999999" x14ac:dyDescent="0.4">
      <c r="A51" s="104"/>
      <c r="B51" s="104"/>
      <c r="C51" s="106"/>
      <c r="D51" s="106"/>
      <c r="E51" s="84"/>
      <c r="F51" s="84"/>
      <c r="G51" s="84"/>
      <c r="H51" s="84"/>
      <c r="I51" s="84"/>
      <c r="J51" s="84"/>
      <c r="K51" s="84"/>
      <c r="L51" s="84"/>
      <c r="M51" s="84"/>
      <c r="N51" s="84"/>
      <c r="O51" s="84"/>
    </row>
    <row r="52" spans="1:15" ht="20.149999999999999" x14ac:dyDescent="0.4">
      <c r="A52" s="104"/>
      <c r="B52" s="23"/>
      <c r="C52" s="34"/>
      <c r="D52" s="34"/>
    </row>
    <row r="53" spans="1:15" ht="20.149999999999999" x14ac:dyDescent="0.4">
      <c r="A53" s="104"/>
      <c r="B53" s="23"/>
      <c r="C53" s="34"/>
      <c r="D53" s="34"/>
    </row>
    <row r="54" spans="1:15" ht="20.149999999999999" x14ac:dyDescent="0.4">
      <c r="A54" s="104"/>
      <c r="B54" s="23"/>
      <c r="C54" s="34"/>
      <c r="D54" s="34"/>
    </row>
    <row r="55" spans="1:15" ht="20.149999999999999" x14ac:dyDescent="0.4">
      <c r="A55" s="104"/>
      <c r="B55" s="23"/>
      <c r="C55" s="34"/>
      <c r="D55" s="34"/>
    </row>
    <row r="56" spans="1:15" ht="20.149999999999999" x14ac:dyDescent="0.4">
      <c r="A56" s="104"/>
      <c r="B56" s="23"/>
      <c r="C56" s="34"/>
      <c r="D56" s="34"/>
    </row>
    <row r="57" spans="1:15" ht="20.149999999999999" x14ac:dyDescent="0.4">
      <c r="A57" s="104"/>
      <c r="B57" s="23"/>
      <c r="C57" s="34"/>
      <c r="D57" s="34"/>
    </row>
    <row r="58" spans="1:15" ht="20.149999999999999" x14ac:dyDescent="0.4">
      <c r="A58" s="104"/>
      <c r="B58" s="23"/>
      <c r="C58" s="34"/>
      <c r="D58" s="34"/>
    </row>
    <row r="59" spans="1:15" ht="20.149999999999999" x14ac:dyDescent="0.4">
      <c r="A59" s="104"/>
      <c r="B59" s="23"/>
      <c r="C59" s="34"/>
      <c r="D59" s="34"/>
    </row>
    <row r="60" spans="1:15" ht="20.149999999999999" x14ac:dyDescent="0.4">
      <c r="A60" s="104"/>
      <c r="B60" s="23"/>
      <c r="C60" s="34"/>
      <c r="D60" s="34"/>
    </row>
    <row r="61" spans="1:15" ht="20.149999999999999" x14ac:dyDescent="0.4">
      <c r="A61" s="104"/>
      <c r="B61" s="23"/>
      <c r="C61" s="34"/>
      <c r="D61" s="34"/>
    </row>
    <row r="62" spans="1:15" ht="20.149999999999999" x14ac:dyDescent="0.4">
      <c r="A62" s="104"/>
      <c r="B62" s="23"/>
      <c r="C62" s="34"/>
      <c r="D62" s="34"/>
    </row>
    <row r="63" spans="1:15" ht="20.149999999999999" x14ac:dyDescent="0.4">
      <c r="A63" s="104"/>
      <c r="B63" s="23"/>
      <c r="C63" s="34"/>
      <c r="D63" s="34"/>
    </row>
    <row r="64" spans="1:15" ht="20.149999999999999" x14ac:dyDescent="0.4">
      <c r="A64" s="104"/>
      <c r="B64" s="23"/>
      <c r="C64" s="34"/>
      <c r="D64" s="34"/>
    </row>
    <row r="65" spans="1:4" ht="20.149999999999999" x14ac:dyDescent="0.4">
      <c r="A65" s="104"/>
      <c r="B65" s="23"/>
      <c r="C65" s="34"/>
      <c r="D65" s="34"/>
    </row>
    <row r="66" spans="1:4" ht="20.149999999999999" x14ac:dyDescent="0.4">
      <c r="A66" s="104"/>
      <c r="B66" s="23"/>
      <c r="C66" s="34"/>
      <c r="D66" s="34"/>
    </row>
    <row r="67" spans="1:4" ht="20.149999999999999" x14ac:dyDescent="0.4">
      <c r="A67" s="104"/>
      <c r="B67" s="23"/>
      <c r="C67" s="34"/>
      <c r="D67" s="34"/>
    </row>
    <row r="68" spans="1:4" ht="20.149999999999999" x14ac:dyDescent="0.4">
      <c r="A68" s="104"/>
      <c r="B68" s="23"/>
      <c r="C68" s="34"/>
      <c r="D68" s="34"/>
    </row>
    <row r="69" spans="1:4" ht="20.149999999999999" x14ac:dyDescent="0.4">
      <c r="A69" s="104"/>
      <c r="B69" s="23"/>
      <c r="C69" s="34"/>
      <c r="D69" s="34"/>
    </row>
    <row r="70" spans="1:4" ht="20.149999999999999" x14ac:dyDescent="0.4">
      <c r="A70" s="104"/>
      <c r="B70" s="23"/>
      <c r="C70" s="34"/>
      <c r="D70" s="34"/>
    </row>
    <row r="71" spans="1:4" ht="20.149999999999999" x14ac:dyDescent="0.4">
      <c r="A71" s="104"/>
      <c r="B71" s="23"/>
      <c r="C71" s="34"/>
      <c r="D71" s="34"/>
    </row>
    <row r="72" spans="1:4" ht="20.149999999999999" x14ac:dyDescent="0.4">
      <c r="A72" s="104"/>
      <c r="B72" s="23"/>
      <c r="C72" s="34"/>
      <c r="D72" s="34"/>
    </row>
    <row r="73" spans="1:4" ht="20.149999999999999" x14ac:dyDescent="0.4">
      <c r="A73" s="104"/>
      <c r="B73" s="23"/>
      <c r="C73" s="34"/>
      <c r="D73" s="34"/>
    </row>
    <row r="74" spans="1:4" ht="20.149999999999999" x14ac:dyDescent="0.4">
      <c r="A74" s="104"/>
      <c r="B74" s="23"/>
      <c r="C74" s="34"/>
      <c r="D74" s="34"/>
    </row>
    <row r="75" spans="1:4" ht="20.149999999999999" x14ac:dyDescent="0.4">
      <c r="A75" s="104"/>
      <c r="B75" s="23"/>
      <c r="C75" s="34"/>
      <c r="D75" s="34"/>
    </row>
    <row r="76" spans="1:4" ht="20.149999999999999" x14ac:dyDescent="0.4">
      <c r="A76" s="104"/>
      <c r="B76" s="23"/>
      <c r="C76" s="34"/>
      <c r="D76" s="34"/>
    </row>
    <row r="77" spans="1:4" ht="20.149999999999999" x14ac:dyDescent="0.4">
      <c r="A77" s="104"/>
      <c r="B77" s="23"/>
      <c r="C77" s="34"/>
      <c r="D77" s="34"/>
    </row>
    <row r="78" spans="1:4" ht="20.149999999999999" x14ac:dyDescent="0.4">
      <c r="A78" s="104"/>
      <c r="B78" s="23"/>
      <c r="C78" s="34"/>
      <c r="D78" s="34"/>
    </row>
    <row r="79" spans="1:4" ht="20.149999999999999" x14ac:dyDescent="0.4">
      <c r="A79" s="104"/>
      <c r="B79" s="23"/>
      <c r="C79" s="34"/>
      <c r="D79" s="34"/>
    </row>
    <row r="80" spans="1:4" ht="20.149999999999999" x14ac:dyDescent="0.4">
      <c r="A80" s="104"/>
      <c r="B80" s="23"/>
      <c r="C80" s="34"/>
      <c r="D80" s="34"/>
    </row>
    <row r="81" spans="1:4" ht="20.149999999999999" x14ac:dyDescent="0.4">
      <c r="A81" s="104"/>
      <c r="B81" s="23"/>
      <c r="C81" s="34"/>
      <c r="D81" s="34"/>
    </row>
    <row r="82" spans="1:4" ht="20.149999999999999" x14ac:dyDescent="0.4">
      <c r="A82" s="104"/>
      <c r="B82" s="23"/>
      <c r="C82" s="34"/>
      <c r="D82" s="34"/>
    </row>
    <row r="83" spans="1:4" ht="20.149999999999999" x14ac:dyDescent="0.4">
      <c r="A83" s="104"/>
      <c r="B83" s="23"/>
      <c r="C83" s="34"/>
      <c r="D83" s="34"/>
    </row>
    <row r="84" spans="1:4" ht="20.149999999999999" x14ac:dyDescent="0.4">
      <c r="A84" s="104"/>
      <c r="B84" s="23"/>
      <c r="C84" s="34"/>
      <c r="D84" s="34"/>
    </row>
    <row r="85" spans="1:4" ht="20.149999999999999" x14ac:dyDescent="0.4">
      <c r="A85" s="104"/>
      <c r="B85" s="23"/>
      <c r="C85" s="34"/>
      <c r="D85" s="34"/>
    </row>
    <row r="86" spans="1:4" ht="20.149999999999999" x14ac:dyDescent="0.4">
      <c r="A86" s="104"/>
      <c r="B86" s="23"/>
      <c r="C86" s="34"/>
      <c r="D86" s="34"/>
    </row>
    <row r="87" spans="1:4" ht="20.149999999999999" x14ac:dyDescent="0.4">
      <c r="A87" s="104"/>
      <c r="B87" s="23"/>
      <c r="C87" s="34"/>
      <c r="D87" s="34"/>
    </row>
    <row r="88" spans="1:4" ht="20.149999999999999" x14ac:dyDescent="0.4">
      <c r="A88" s="104"/>
      <c r="B88" s="23"/>
      <c r="C88" s="34"/>
      <c r="D88" s="34"/>
    </row>
    <row r="89" spans="1:4" ht="20.149999999999999" x14ac:dyDescent="0.4">
      <c r="A89" s="104"/>
      <c r="B89" s="23"/>
      <c r="C89" s="34"/>
      <c r="D89" s="34"/>
    </row>
    <row r="90" spans="1:4" ht="20.149999999999999" x14ac:dyDescent="0.4">
      <c r="A90" s="104"/>
      <c r="B90" s="23"/>
      <c r="C90" s="34"/>
      <c r="D90" s="34"/>
    </row>
    <row r="91" spans="1:4" ht="20.149999999999999" x14ac:dyDescent="0.4">
      <c r="A91" s="104"/>
      <c r="B91" s="23"/>
      <c r="C91" s="34"/>
      <c r="D91" s="34"/>
    </row>
    <row r="92" spans="1:4" ht="20.149999999999999" x14ac:dyDescent="0.4">
      <c r="A92" s="104"/>
      <c r="B92" s="23"/>
      <c r="C92" s="34"/>
      <c r="D92" s="34"/>
    </row>
    <row r="93" spans="1:4" ht="20.149999999999999" x14ac:dyDescent="0.4">
      <c r="A93" s="104"/>
      <c r="B93" s="23"/>
      <c r="C93" s="34"/>
      <c r="D93" s="34"/>
    </row>
    <row r="94" spans="1:4" ht="20.149999999999999" x14ac:dyDescent="0.4">
      <c r="A94" s="104"/>
      <c r="B94" s="23"/>
      <c r="C94" s="34"/>
      <c r="D94" s="34"/>
    </row>
    <row r="95" spans="1:4" ht="20.149999999999999" x14ac:dyDescent="0.4">
      <c r="A95" s="104"/>
      <c r="B95" s="23"/>
      <c r="C95" s="34"/>
      <c r="D95" s="34"/>
    </row>
    <row r="96" spans="1:4" ht="20.149999999999999" x14ac:dyDescent="0.4">
      <c r="A96" s="104"/>
      <c r="B96" s="23"/>
      <c r="C96" s="34"/>
      <c r="D96" s="34"/>
    </row>
    <row r="97" spans="1:4" ht="20.149999999999999" x14ac:dyDescent="0.4">
      <c r="A97" s="104"/>
      <c r="B97" s="23"/>
      <c r="C97" s="34"/>
      <c r="D97" s="34"/>
    </row>
    <row r="98" spans="1:4" ht="20.149999999999999" x14ac:dyDescent="0.4">
      <c r="A98" s="104"/>
      <c r="B98" s="23"/>
      <c r="C98" s="34"/>
      <c r="D98" s="34"/>
    </row>
    <row r="99" spans="1:4" ht="20.149999999999999" x14ac:dyDescent="0.4">
      <c r="A99" s="104"/>
      <c r="B99" s="23"/>
      <c r="C99" s="34"/>
      <c r="D99" s="34"/>
    </row>
    <row r="100" spans="1:4" ht="20.149999999999999" x14ac:dyDescent="0.4">
      <c r="A100" s="104"/>
      <c r="B100" s="23"/>
      <c r="C100" s="34"/>
      <c r="D100" s="34"/>
    </row>
    <row r="101" spans="1:4" ht="20.149999999999999" x14ac:dyDescent="0.4">
      <c r="A101" s="104"/>
      <c r="B101" s="23"/>
      <c r="C101" s="34"/>
      <c r="D101" s="34"/>
    </row>
    <row r="102" spans="1:4" ht="20.149999999999999" x14ac:dyDescent="0.4">
      <c r="A102" s="104"/>
      <c r="B102" s="23"/>
      <c r="C102" s="34"/>
      <c r="D102" s="34"/>
    </row>
    <row r="103" spans="1:4" ht="20.149999999999999" x14ac:dyDescent="0.4">
      <c r="A103" s="104"/>
      <c r="B103" s="23"/>
      <c r="C103" s="34"/>
      <c r="D103" s="34"/>
    </row>
    <row r="104" spans="1:4" ht="20.149999999999999" x14ac:dyDescent="0.4">
      <c r="A104" s="104"/>
      <c r="B104" s="23"/>
      <c r="C104" s="34"/>
      <c r="D104" s="34"/>
    </row>
    <row r="105" spans="1:4" ht="20.149999999999999" x14ac:dyDescent="0.4">
      <c r="A105" s="104"/>
      <c r="B105" s="23"/>
      <c r="C105" s="34"/>
      <c r="D105" s="34"/>
    </row>
    <row r="106" spans="1:4" ht="20.149999999999999" x14ac:dyDescent="0.4">
      <c r="A106" s="104"/>
      <c r="B106" s="23"/>
      <c r="C106" s="34"/>
      <c r="D106" s="34"/>
    </row>
    <row r="107" spans="1:4" ht="20.149999999999999" x14ac:dyDescent="0.4">
      <c r="A107" s="104"/>
      <c r="B107" s="23"/>
      <c r="C107" s="34"/>
      <c r="D107" s="34"/>
    </row>
    <row r="108" spans="1:4" ht="20.149999999999999" x14ac:dyDescent="0.4">
      <c r="A108" s="104"/>
      <c r="B108" s="23"/>
      <c r="C108" s="34"/>
      <c r="D108" s="34"/>
    </row>
    <row r="109" spans="1:4" ht="20.149999999999999" x14ac:dyDescent="0.4">
      <c r="A109" s="104"/>
      <c r="B109" s="23"/>
      <c r="C109" s="34"/>
      <c r="D109" s="34"/>
    </row>
    <row r="110" spans="1:4" ht="20.149999999999999" x14ac:dyDescent="0.4">
      <c r="A110" s="104"/>
      <c r="B110" s="23"/>
      <c r="C110" s="34"/>
      <c r="D110" s="34"/>
    </row>
    <row r="111" spans="1:4" ht="20.149999999999999" x14ac:dyDescent="0.4">
      <c r="A111" s="104"/>
      <c r="B111" s="23"/>
      <c r="C111" s="34"/>
      <c r="D111" s="34"/>
    </row>
    <row r="112" spans="1:4" ht="20.149999999999999" x14ac:dyDescent="0.4">
      <c r="A112" s="104"/>
      <c r="B112" s="23"/>
      <c r="C112" s="34"/>
      <c r="D112" s="34"/>
    </row>
    <row r="113" spans="1:4" ht="20.149999999999999" x14ac:dyDescent="0.4">
      <c r="A113" s="104"/>
      <c r="B113" s="23"/>
      <c r="C113" s="34"/>
      <c r="D113" s="34"/>
    </row>
    <row r="114" spans="1:4" ht="20.149999999999999" x14ac:dyDescent="0.4">
      <c r="A114" s="104"/>
      <c r="B114" s="23"/>
      <c r="C114" s="34"/>
      <c r="D114" s="34"/>
    </row>
    <row r="115" spans="1:4" ht="20.149999999999999" x14ac:dyDescent="0.4">
      <c r="A115" s="104"/>
      <c r="B115" s="23"/>
      <c r="C115" s="34"/>
      <c r="D115" s="34"/>
    </row>
    <row r="116" spans="1:4" ht="20.149999999999999" x14ac:dyDescent="0.4">
      <c r="A116" s="104"/>
      <c r="B116" s="23"/>
      <c r="C116" s="34"/>
      <c r="D116" s="34"/>
    </row>
    <row r="117" spans="1:4" ht="20.149999999999999" x14ac:dyDescent="0.4">
      <c r="A117" s="104"/>
      <c r="B117" s="23"/>
      <c r="C117" s="34"/>
      <c r="D117" s="34"/>
    </row>
    <row r="118" spans="1:4" ht="20.149999999999999" x14ac:dyDescent="0.4">
      <c r="A118" s="104"/>
      <c r="B118" s="23"/>
      <c r="C118" s="34"/>
      <c r="D118" s="34"/>
    </row>
    <row r="119" spans="1:4" ht="20.149999999999999" x14ac:dyDescent="0.4">
      <c r="A119" s="104"/>
      <c r="B119" s="23"/>
      <c r="C119" s="34"/>
      <c r="D119" s="34"/>
    </row>
    <row r="120" spans="1:4" ht="20.149999999999999" x14ac:dyDescent="0.4">
      <c r="A120" s="104"/>
      <c r="B120" s="23"/>
      <c r="C120" s="34"/>
      <c r="D120" s="34"/>
    </row>
    <row r="121" spans="1:4" ht="20.149999999999999" x14ac:dyDescent="0.4">
      <c r="A121" s="104"/>
      <c r="B121" s="23"/>
      <c r="C121" s="34"/>
      <c r="D121" s="34"/>
    </row>
    <row r="122" spans="1:4" ht="20.149999999999999" x14ac:dyDescent="0.4">
      <c r="A122" s="104"/>
      <c r="B122" s="23"/>
      <c r="C122" s="34"/>
      <c r="D122" s="34"/>
    </row>
    <row r="123" spans="1:4" ht="20.149999999999999" x14ac:dyDescent="0.4">
      <c r="A123" s="104"/>
      <c r="B123" s="23"/>
      <c r="C123" s="34"/>
      <c r="D123" s="34"/>
    </row>
    <row r="124" spans="1:4" ht="20.149999999999999" x14ac:dyDescent="0.4">
      <c r="A124" s="104"/>
      <c r="B124" s="23"/>
      <c r="C124" s="34"/>
      <c r="D124" s="34"/>
    </row>
    <row r="125" spans="1:4" ht="20.149999999999999" x14ac:dyDescent="0.4">
      <c r="A125" s="104"/>
      <c r="B125" s="23"/>
      <c r="C125" s="34"/>
      <c r="D125" s="34"/>
    </row>
    <row r="126" spans="1:4" ht="20.149999999999999" x14ac:dyDescent="0.4">
      <c r="A126" s="104"/>
      <c r="B126" s="23"/>
      <c r="C126" s="34"/>
      <c r="D126" s="34"/>
    </row>
    <row r="127" spans="1:4" ht="20.149999999999999" x14ac:dyDescent="0.4">
      <c r="A127" s="104"/>
      <c r="B127" s="23"/>
      <c r="C127" s="34"/>
      <c r="D127" s="34"/>
    </row>
    <row r="128" spans="1:4" ht="20.149999999999999" x14ac:dyDescent="0.4">
      <c r="A128" s="104"/>
      <c r="B128" s="23"/>
      <c r="C128" s="34"/>
      <c r="D128" s="34"/>
    </row>
    <row r="129" spans="1:4" ht="20.149999999999999" x14ac:dyDescent="0.4">
      <c r="A129" s="104"/>
      <c r="B129" s="23"/>
      <c r="C129" s="34"/>
      <c r="D129" s="34"/>
    </row>
    <row r="130" spans="1:4" ht="20.149999999999999" x14ac:dyDescent="0.4">
      <c r="A130" s="104"/>
      <c r="B130" s="23"/>
      <c r="C130" s="34"/>
      <c r="D130" s="34"/>
    </row>
    <row r="131" spans="1:4" ht="20.149999999999999" x14ac:dyDescent="0.4">
      <c r="A131" s="104"/>
      <c r="B131" s="23"/>
      <c r="C131" s="34"/>
      <c r="D131" s="34"/>
    </row>
    <row r="132" spans="1:4" ht="20.149999999999999" x14ac:dyDescent="0.4">
      <c r="A132" s="104"/>
      <c r="B132" s="23"/>
      <c r="C132" s="34"/>
      <c r="D132" s="34"/>
    </row>
    <row r="133" spans="1:4" ht="20.149999999999999" x14ac:dyDescent="0.4">
      <c r="A133" s="104"/>
      <c r="B133" s="23"/>
      <c r="C133" s="34"/>
      <c r="D133" s="34"/>
    </row>
    <row r="134" spans="1:4" ht="20.149999999999999" x14ac:dyDescent="0.4">
      <c r="A134" s="104"/>
      <c r="B134" s="23"/>
      <c r="C134" s="34"/>
      <c r="D134" s="34"/>
    </row>
    <row r="135" spans="1:4" ht="20.149999999999999" x14ac:dyDescent="0.4">
      <c r="A135" s="104"/>
      <c r="B135" s="23"/>
      <c r="C135" s="34"/>
      <c r="D135" s="34"/>
    </row>
    <row r="136" spans="1:4" ht="20.149999999999999" x14ac:dyDescent="0.4">
      <c r="A136" s="104"/>
      <c r="B136" s="23"/>
      <c r="C136" s="34"/>
      <c r="D136" s="34"/>
    </row>
    <row r="137" spans="1:4" ht="20.149999999999999" x14ac:dyDescent="0.4">
      <c r="A137" s="104"/>
      <c r="B137" s="23"/>
      <c r="C137" s="34"/>
      <c r="D137" s="34"/>
    </row>
    <row r="138" spans="1:4" ht="20.149999999999999" x14ac:dyDescent="0.4">
      <c r="A138" s="104"/>
      <c r="B138" s="23"/>
      <c r="C138" s="34"/>
      <c r="D138" s="34"/>
    </row>
    <row r="139" spans="1:4" ht="20.149999999999999" x14ac:dyDescent="0.4">
      <c r="A139" s="104"/>
      <c r="B139" s="23"/>
      <c r="C139" s="34"/>
      <c r="D139" s="34"/>
    </row>
    <row r="140" spans="1:4" ht="20.149999999999999" x14ac:dyDescent="0.4">
      <c r="A140" s="104"/>
      <c r="B140" s="23"/>
      <c r="C140" s="34"/>
      <c r="D140" s="34"/>
    </row>
    <row r="141" spans="1:4" ht="20.149999999999999" x14ac:dyDescent="0.4">
      <c r="A141" s="104"/>
      <c r="B141" s="23"/>
      <c r="C141" s="34"/>
      <c r="D141" s="34"/>
    </row>
    <row r="142" spans="1:4" ht="20.149999999999999" x14ac:dyDescent="0.4">
      <c r="A142" s="104"/>
      <c r="B142" s="23"/>
      <c r="C142" s="34"/>
      <c r="D142" s="34"/>
    </row>
    <row r="143" spans="1:4" ht="20.149999999999999" x14ac:dyDescent="0.4">
      <c r="A143" s="104"/>
      <c r="B143" s="23"/>
      <c r="C143" s="34"/>
      <c r="D143" s="34"/>
    </row>
    <row r="144" spans="1:4" ht="20.149999999999999" x14ac:dyDescent="0.4">
      <c r="A144" s="104"/>
      <c r="B144" s="23"/>
      <c r="C144" s="34"/>
      <c r="D144" s="34"/>
    </row>
    <row r="145" spans="1:4" ht="20.149999999999999" x14ac:dyDescent="0.4">
      <c r="A145" s="104"/>
      <c r="B145" s="23"/>
      <c r="C145" s="34"/>
      <c r="D145" s="34"/>
    </row>
    <row r="146" spans="1:4" ht="20.149999999999999" x14ac:dyDescent="0.4">
      <c r="A146" s="104"/>
      <c r="B146" s="23"/>
      <c r="C146" s="34"/>
      <c r="D146" s="34"/>
    </row>
    <row r="147" spans="1:4" ht="20.149999999999999" x14ac:dyDescent="0.4">
      <c r="A147" s="104"/>
      <c r="B147" s="23"/>
      <c r="C147" s="34"/>
      <c r="D147" s="34"/>
    </row>
    <row r="148" spans="1:4" ht="20.149999999999999" x14ac:dyDescent="0.4">
      <c r="A148" s="104"/>
      <c r="B148" s="23"/>
      <c r="C148" s="34"/>
      <c r="D148" s="34"/>
    </row>
    <row r="149" spans="1:4" ht="20.149999999999999" x14ac:dyDescent="0.4">
      <c r="A149" s="104"/>
      <c r="B149" s="23"/>
      <c r="C149" s="34"/>
      <c r="D149" s="34"/>
    </row>
    <row r="150" spans="1:4" ht="20.149999999999999" x14ac:dyDescent="0.4">
      <c r="A150" s="104"/>
      <c r="B150" s="23"/>
      <c r="C150" s="34"/>
      <c r="D150" s="34"/>
    </row>
    <row r="151" spans="1:4" ht="20.149999999999999" x14ac:dyDescent="0.4">
      <c r="A151" s="104"/>
      <c r="B151" s="23"/>
      <c r="C151" s="34"/>
      <c r="D151" s="34"/>
    </row>
    <row r="152" spans="1:4" ht="20.149999999999999" x14ac:dyDescent="0.4">
      <c r="A152" s="104"/>
      <c r="B152" s="23"/>
      <c r="C152" s="34"/>
      <c r="D152" s="34"/>
    </row>
    <row r="153" spans="1:4" ht="20.149999999999999" x14ac:dyDescent="0.4">
      <c r="A153" s="104"/>
      <c r="B153" s="23"/>
      <c r="C153" s="34"/>
      <c r="D153" s="34"/>
    </row>
    <row r="154" spans="1:4" ht="20.149999999999999" x14ac:dyDescent="0.4">
      <c r="A154" s="104"/>
      <c r="B154" s="23"/>
      <c r="C154" s="34"/>
      <c r="D154" s="34"/>
    </row>
    <row r="155" spans="1:4" ht="20.149999999999999" x14ac:dyDescent="0.4">
      <c r="A155" s="104"/>
      <c r="B155" s="23"/>
      <c r="C155" s="34"/>
      <c r="D155" s="34"/>
    </row>
    <row r="156" spans="1:4" ht="20.149999999999999" x14ac:dyDescent="0.4">
      <c r="A156" s="104"/>
      <c r="B156" s="23"/>
      <c r="C156" s="34"/>
      <c r="D156" s="34"/>
    </row>
    <row r="157" spans="1:4" ht="20.149999999999999" x14ac:dyDescent="0.4">
      <c r="A157" s="104"/>
      <c r="B157" s="23"/>
      <c r="C157" s="34"/>
      <c r="D157" s="34"/>
    </row>
    <row r="158" spans="1:4" ht="20.149999999999999" x14ac:dyDescent="0.4">
      <c r="A158" s="104"/>
      <c r="B158" s="23"/>
      <c r="C158" s="34"/>
      <c r="D158" s="34"/>
    </row>
    <row r="159" spans="1:4" ht="20.149999999999999" x14ac:dyDescent="0.4">
      <c r="A159" s="104"/>
      <c r="B159" s="23"/>
      <c r="C159" s="34"/>
      <c r="D159" s="34"/>
    </row>
    <row r="160" spans="1:4" ht="20.149999999999999" x14ac:dyDescent="0.4">
      <c r="A160" s="104"/>
      <c r="B160" s="23"/>
      <c r="C160" s="34"/>
      <c r="D160" s="34"/>
    </row>
    <row r="161" spans="1:4" ht="20.149999999999999" x14ac:dyDescent="0.4">
      <c r="A161" s="104"/>
      <c r="B161" s="23"/>
      <c r="C161" s="34"/>
      <c r="D161" s="34"/>
    </row>
    <row r="162" spans="1:4" ht="20.149999999999999" x14ac:dyDescent="0.4">
      <c r="A162" s="104"/>
      <c r="B162" s="23"/>
      <c r="C162" s="34"/>
      <c r="D162" s="34"/>
    </row>
    <row r="163" spans="1:4" ht="20.149999999999999" x14ac:dyDescent="0.4">
      <c r="A163" s="104"/>
      <c r="B163" s="23"/>
      <c r="C163" s="34"/>
      <c r="D163" s="34"/>
    </row>
    <row r="164" spans="1:4" ht="20.149999999999999" x14ac:dyDescent="0.4">
      <c r="A164" s="104"/>
      <c r="B164" s="23"/>
      <c r="C164" s="34"/>
      <c r="D164" s="34"/>
    </row>
    <row r="165" spans="1:4" ht="20.149999999999999" x14ac:dyDescent="0.4">
      <c r="A165" s="104"/>
      <c r="B165" s="23"/>
      <c r="C165" s="34"/>
      <c r="D165" s="34"/>
    </row>
    <row r="166" spans="1:4" ht="20.149999999999999" x14ac:dyDescent="0.4">
      <c r="A166" s="104"/>
      <c r="B166" s="23"/>
      <c r="C166" s="34"/>
      <c r="D166" s="34"/>
    </row>
    <row r="167" spans="1:4" ht="20.149999999999999" x14ac:dyDescent="0.4">
      <c r="A167" s="104"/>
      <c r="B167" s="23"/>
      <c r="C167" s="34"/>
      <c r="D167" s="34"/>
    </row>
    <row r="168" spans="1:4" ht="20.149999999999999" x14ac:dyDescent="0.4">
      <c r="A168" s="104"/>
      <c r="B168" s="23"/>
      <c r="C168" s="34"/>
      <c r="D168" s="34"/>
    </row>
    <row r="169" spans="1:4" ht="20.149999999999999" x14ac:dyDescent="0.4">
      <c r="A169" s="104"/>
      <c r="B169" s="23"/>
      <c r="C169" s="34"/>
      <c r="D169" s="34"/>
    </row>
    <row r="170" spans="1:4" ht="20.149999999999999" x14ac:dyDescent="0.4">
      <c r="A170" s="104"/>
      <c r="B170" s="23"/>
      <c r="C170" s="34"/>
      <c r="D170" s="34"/>
    </row>
    <row r="171" spans="1:4" ht="20.149999999999999" x14ac:dyDescent="0.4">
      <c r="A171" s="104"/>
      <c r="B171" s="23"/>
      <c r="C171" s="34"/>
      <c r="D171" s="34"/>
    </row>
    <row r="172" spans="1:4" ht="20.149999999999999" x14ac:dyDescent="0.4">
      <c r="A172" s="104"/>
      <c r="B172" s="23"/>
      <c r="C172" s="34"/>
      <c r="D172" s="34"/>
    </row>
    <row r="173" spans="1:4" ht="20.149999999999999" x14ac:dyDescent="0.4">
      <c r="A173" s="104"/>
      <c r="B173" s="23"/>
      <c r="C173" s="34"/>
      <c r="D173" s="34"/>
    </row>
    <row r="174" spans="1:4" ht="20.149999999999999" x14ac:dyDescent="0.4">
      <c r="A174" s="104"/>
      <c r="B174" s="23"/>
      <c r="C174" s="34"/>
      <c r="D174" s="34"/>
    </row>
    <row r="175" spans="1:4" ht="20.149999999999999" x14ac:dyDescent="0.4">
      <c r="A175" s="104"/>
      <c r="B175" s="23"/>
      <c r="C175" s="34"/>
      <c r="D175" s="34"/>
    </row>
    <row r="176" spans="1:4" ht="20.149999999999999" x14ac:dyDescent="0.4">
      <c r="A176" s="104"/>
      <c r="B176" s="23"/>
      <c r="C176" s="34"/>
      <c r="D176" s="34"/>
    </row>
    <row r="177" spans="1:4" ht="20.149999999999999" x14ac:dyDescent="0.4">
      <c r="A177" s="104"/>
      <c r="B177" s="23"/>
      <c r="C177" s="34"/>
      <c r="D177" s="34"/>
    </row>
    <row r="178" spans="1:4" ht="20.149999999999999" x14ac:dyDescent="0.4">
      <c r="A178" s="104"/>
      <c r="B178" s="23"/>
      <c r="C178" s="34"/>
      <c r="D178" s="34"/>
    </row>
    <row r="179" spans="1:4" ht="20.149999999999999" x14ac:dyDescent="0.4">
      <c r="A179" s="104"/>
      <c r="B179" s="23"/>
      <c r="C179" s="34"/>
      <c r="D179" s="34"/>
    </row>
    <row r="180" spans="1:4" ht="20.149999999999999" x14ac:dyDescent="0.4">
      <c r="A180" s="104"/>
      <c r="B180" s="23"/>
      <c r="C180" s="34"/>
      <c r="D180" s="34"/>
    </row>
    <row r="181" spans="1:4" ht="20.149999999999999" x14ac:dyDescent="0.4">
      <c r="A181" s="104"/>
      <c r="B181" s="23"/>
      <c r="C181" s="34"/>
      <c r="D181" s="34"/>
    </row>
    <row r="182" spans="1:4" ht="20.149999999999999" x14ac:dyDescent="0.4">
      <c r="A182" s="104"/>
      <c r="B182" s="23"/>
      <c r="C182" s="34"/>
      <c r="D182" s="34"/>
    </row>
    <row r="183" spans="1:4" ht="20.149999999999999" x14ac:dyDescent="0.4">
      <c r="A183" s="104"/>
      <c r="B183" s="23"/>
      <c r="C183" s="34"/>
      <c r="D183" s="34"/>
    </row>
    <row r="184" spans="1:4" ht="20.149999999999999" x14ac:dyDescent="0.4">
      <c r="A184" s="104"/>
      <c r="B184" s="23"/>
      <c r="C184" s="34"/>
      <c r="D184" s="34"/>
    </row>
    <row r="185" spans="1:4" ht="20.149999999999999" x14ac:dyDescent="0.4">
      <c r="A185" s="104"/>
      <c r="B185" s="23"/>
      <c r="C185" s="34"/>
      <c r="D185" s="34"/>
    </row>
    <row r="186" spans="1:4" ht="20.149999999999999" x14ac:dyDescent="0.4">
      <c r="A186" s="104"/>
      <c r="B186" s="23"/>
      <c r="C186" s="34"/>
      <c r="D186" s="34"/>
    </row>
    <row r="187" spans="1:4" ht="20.149999999999999" x14ac:dyDescent="0.4">
      <c r="A187" s="104"/>
      <c r="B187" s="23"/>
      <c r="C187" s="34"/>
      <c r="D187" s="34"/>
    </row>
    <row r="188" spans="1:4" ht="20.149999999999999" x14ac:dyDescent="0.4">
      <c r="A188" s="104"/>
      <c r="B188" s="23"/>
      <c r="C188" s="34"/>
      <c r="D188" s="34"/>
    </row>
    <row r="189" spans="1:4" ht="20.149999999999999" x14ac:dyDescent="0.4">
      <c r="A189" s="104"/>
      <c r="B189" s="23"/>
      <c r="C189" s="34"/>
      <c r="D189" s="34"/>
    </row>
    <row r="190" spans="1:4" ht="20.149999999999999" x14ac:dyDescent="0.4">
      <c r="A190" s="104"/>
      <c r="B190" s="23"/>
      <c r="C190" s="34"/>
      <c r="D190" s="34"/>
    </row>
    <row r="191" spans="1:4" ht="20.149999999999999" x14ac:dyDescent="0.4">
      <c r="A191" s="104"/>
      <c r="B191" s="23"/>
      <c r="C191" s="34"/>
      <c r="D191" s="34"/>
    </row>
    <row r="192" spans="1:4" ht="20.149999999999999" x14ac:dyDescent="0.4">
      <c r="A192" s="104"/>
      <c r="B192" s="23"/>
      <c r="C192" s="34"/>
      <c r="D192" s="34"/>
    </row>
    <row r="193" spans="1:4" ht="20.149999999999999" x14ac:dyDescent="0.4">
      <c r="A193" s="104"/>
      <c r="B193" s="23"/>
      <c r="C193" s="34"/>
      <c r="D193" s="34"/>
    </row>
    <row r="194" spans="1:4" ht="20.149999999999999" x14ac:dyDescent="0.4">
      <c r="A194" s="104"/>
      <c r="B194" s="23"/>
      <c r="C194" s="34"/>
      <c r="D194" s="34"/>
    </row>
    <row r="195" spans="1:4" ht="20.149999999999999" x14ac:dyDescent="0.4">
      <c r="A195" s="104"/>
      <c r="B195" s="23"/>
      <c r="C195" s="34"/>
      <c r="D195" s="34"/>
    </row>
    <row r="196" spans="1:4" ht="20.149999999999999" x14ac:dyDescent="0.4">
      <c r="A196" s="104"/>
      <c r="B196" s="23"/>
      <c r="C196" s="34"/>
      <c r="D196" s="34"/>
    </row>
    <row r="197" spans="1:4" ht="20.149999999999999" x14ac:dyDescent="0.4">
      <c r="A197" s="104"/>
      <c r="B197" s="23"/>
      <c r="C197" s="34"/>
      <c r="D197" s="34"/>
    </row>
    <row r="198" spans="1:4" ht="20.149999999999999" x14ac:dyDescent="0.4">
      <c r="A198" s="104"/>
      <c r="B198" s="23"/>
      <c r="C198" s="34"/>
      <c r="D198" s="34"/>
    </row>
    <row r="199" spans="1:4" ht="20.149999999999999" x14ac:dyDescent="0.4">
      <c r="A199" s="104"/>
      <c r="B199" s="23"/>
      <c r="C199" s="34"/>
      <c r="D199" s="34"/>
    </row>
    <row r="200" spans="1:4" ht="20.149999999999999" x14ac:dyDescent="0.4">
      <c r="A200" s="104"/>
      <c r="B200" s="23"/>
      <c r="C200" s="34"/>
      <c r="D200" s="34"/>
    </row>
    <row r="201" spans="1:4" ht="20.149999999999999" x14ac:dyDescent="0.4">
      <c r="A201" s="104"/>
      <c r="B201" s="23"/>
      <c r="C201" s="34"/>
      <c r="D201" s="34"/>
    </row>
    <row r="202" spans="1:4" ht="20.149999999999999" x14ac:dyDescent="0.4">
      <c r="A202" s="104"/>
      <c r="B202" s="23"/>
      <c r="C202" s="34"/>
      <c r="D202" s="34"/>
    </row>
    <row r="203" spans="1:4" ht="20.149999999999999" x14ac:dyDescent="0.4">
      <c r="A203" s="104"/>
      <c r="B203" s="23"/>
      <c r="C203" s="34"/>
      <c r="D203" s="34"/>
    </row>
    <row r="204" spans="1:4" ht="20.149999999999999" x14ac:dyDescent="0.4">
      <c r="A204" s="104"/>
      <c r="B204" s="23"/>
      <c r="C204" s="34"/>
      <c r="D204" s="34"/>
    </row>
    <row r="205" spans="1:4" ht="20.149999999999999" x14ac:dyDescent="0.4">
      <c r="A205" s="104"/>
      <c r="B205" s="23"/>
      <c r="C205" s="34"/>
      <c r="D205" s="34"/>
    </row>
    <row r="206" spans="1:4" ht="20.149999999999999" x14ac:dyDescent="0.4">
      <c r="A206" s="104"/>
      <c r="B206" s="23"/>
      <c r="C206" s="34"/>
      <c r="D206" s="34"/>
    </row>
    <row r="207" spans="1:4" ht="20.149999999999999" x14ac:dyDescent="0.4">
      <c r="A207" s="104"/>
      <c r="B207" s="23"/>
      <c r="C207" s="34"/>
      <c r="D207" s="34"/>
    </row>
    <row r="208" spans="1:4" x14ac:dyDescent="0.4">
      <c r="A208" s="84"/>
      <c r="B208" s="23"/>
      <c r="C208" s="23"/>
      <c r="D208" s="23"/>
    </row>
    <row r="209" spans="1:8" ht="20.149999999999999" x14ac:dyDescent="0.4">
      <c r="A209" s="84"/>
      <c r="B209" s="30" t="s">
        <v>88</v>
      </c>
      <c r="C209" s="30" t="s">
        <v>145</v>
      </c>
      <c r="D209" s="33" t="s">
        <v>88</v>
      </c>
      <c r="E209" s="33" t="s">
        <v>145</v>
      </c>
    </row>
    <row r="210" spans="1:8" ht="20.6" x14ac:dyDescent="0.55000000000000004">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0.6" x14ac:dyDescent="0.55000000000000004">
      <c r="A211" s="84"/>
      <c r="B211" s="31" t="s">
        <v>90</v>
      </c>
      <c r="C211" s="31" t="s">
        <v>93</v>
      </c>
      <c r="E211" t="s">
        <v>58</v>
      </c>
      <c r="F211" t="str">
        <f t="shared" ref="F211:F221" si="0">IF(NOT(ISBLANK(D211)),D211,IF(NOT(ISBLANK(E211)),"     "&amp;E211,FALSE))</f>
        <v xml:space="preserve">     Afectación menor a 10 SMLMV .</v>
      </c>
    </row>
    <row r="212" spans="1:8" ht="20.6" x14ac:dyDescent="0.55000000000000004">
      <c r="A212" s="84"/>
      <c r="B212" s="31" t="s">
        <v>90</v>
      </c>
      <c r="C212" s="31" t="s">
        <v>94</v>
      </c>
      <c r="E212" t="s">
        <v>93</v>
      </c>
      <c r="F212" t="str">
        <f t="shared" si="0"/>
        <v xml:space="preserve">     Entre 10 y 50 SMLMV </v>
      </c>
    </row>
    <row r="213" spans="1:8" ht="20.6" x14ac:dyDescent="0.55000000000000004">
      <c r="A213" s="84"/>
      <c r="B213" s="31" t="s">
        <v>90</v>
      </c>
      <c r="C213" s="31" t="s">
        <v>95</v>
      </c>
      <c r="E213" t="s">
        <v>94</v>
      </c>
      <c r="F213" t="str">
        <f t="shared" si="0"/>
        <v xml:space="preserve">     Entre 50 y 100 SMLMV </v>
      </c>
    </row>
    <row r="214" spans="1:8" ht="20.6" x14ac:dyDescent="0.55000000000000004">
      <c r="A214" s="84"/>
      <c r="B214" s="31" t="s">
        <v>90</v>
      </c>
      <c r="C214" s="31" t="s">
        <v>96</v>
      </c>
      <c r="E214" t="s">
        <v>95</v>
      </c>
      <c r="F214" t="str">
        <f t="shared" si="0"/>
        <v xml:space="preserve">     Entre 100 y 500 SMLMV </v>
      </c>
    </row>
    <row r="215" spans="1:8" ht="20.6" x14ac:dyDescent="0.55000000000000004">
      <c r="A215" s="84"/>
      <c r="B215" s="31" t="s">
        <v>57</v>
      </c>
      <c r="C215" s="31" t="s">
        <v>97</v>
      </c>
      <c r="E215" t="s">
        <v>96</v>
      </c>
      <c r="F215" t="str">
        <f t="shared" si="0"/>
        <v xml:space="preserve">     Mayor a 500 SMLMV </v>
      </c>
    </row>
    <row r="216" spans="1:8" ht="20.6" x14ac:dyDescent="0.55000000000000004">
      <c r="A216" s="84"/>
      <c r="B216" s="31" t="s">
        <v>57</v>
      </c>
      <c r="C216" s="31" t="s">
        <v>98</v>
      </c>
      <c r="D216" t="s">
        <v>57</v>
      </c>
      <c r="F216" t="str">
        <f t="shared" si="0"/>
        <v>Pérdida Reputacional</v>
      </c>
    </row>
    <row r="217" spans="1:8" ht="20.6" x14ac:dyDescent="0.55000000000000004">
      <c r="A217" s="84"/>
      <c r="B217" s="31" t="s">
        <v>57</v>
      </c>
      <c r="C217" s="31" t="s">
        <v>100</v>
      </c>
      <c r="E217" t="s">
        <v>97</v>
      </c>
      <c r="F217" t="str">
        <f t="shared" si="0"/>
        <v xml:space="preserve">     El riesgo afecta la imagen de alguna área de la organización</v>
      </c>
    </row>
    <row r="218" spans="1:8" ht="20.6" x14ac:dyDescent="0.55000000000000004">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0.6" x14ac:dyDescent="0.55000000000000004">
      <c r="A219" s="84"/>
      <c r="B219" s="31" t="s">
        <v>57</v>
      </c>
      <c r="C219" s="31" t="s">
        <v>118</v>
      </c>
      <c r="E219" t="s">
        <v>100</v>
      </c>
      <c r="F219" t="str">
        <f t="shared" si="0"/>
        <v xml:space="preserve">     El riesgo afecta la imagen de la entidad con algunos usuarios de relevancia frente al logro de los objetivos</v>
      </c>
    </row>
    <row r="220" spans="1:8" x14ac:dyDescent="0.4">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4">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4">
      <c r="A222" s="84"/>
      <c r="B222" s="32" t="e">
        <f ca="1"/>
        <v>#NAME?</v>
      </c>
      <c r="C222" s="32"/>
    </row>
    <row r="223" spans="1:8" x14ac:dyDescent="0.4">
      <c r="B223" s="32" t="e">
        <f ca="1"/>
        <v>#NAME?</v>
      </c>
      <c r="C223" s="32"/>
      <c r="F223" s="35" t="s">
        <v>147</v>
      </c>
    </row>
    <row r="224" spans="1:8" x14ac:dyDescent="0.4">
      <c r="B224" s="22"/>
      <c r="C224" s="22"/>
      <c r="F224" s="35" t="s">
        <v>148</v>
      </c>
    </row>
    <row r="225" spans="2:4" x14ac:dyDescent="0.4">
      <c r="B225" s="22"/>
      <c r="C225" s="22"/>
    </row>
    <row r="226" spans="2:4" x14ac:dyDescent="0.4">
      <c r="B226" s="22"/>
      <c r="C226" s="22"/>
    </row>
    <row r="227" spans="2:4" x14ac:dyDescent="0.4">
      <c r="B227" s="22"/>
      <c r="C227" s="22"/>
      <c r="D227" s="22"/>
    </row>
    <row r="228" spans="2:4" x14ac:dyDescent="0.4">
      <c r="B228" s="22"/>
      <c r="C228" s="22"/>
      <c r="D228" s="22"/>
    </row>
    <row r="229" spans="2:4" x14ac:dyDescent="0.4">
      <c r="B229" s="22"/>
      <c r="C229" s="22"/>
      <c r="D229" s="22"/>
    </row>
    <row r="230" spans="2:4" x14ac:dyDescent="0.4">
      <c r="B230" s="22"/>
      <c r="C230" s="22"/>
      <c r="D230" s="22"/>
    </row>
    <row r="231" spans="2:4" x14ac:dyDescent="0.4">
      <c r="B231" s="22"/>
      <c r="C231" s="22"/>
      <c r="D231" s="22"/>
    </row>
    <row r="232" spans="2:4" x14ac:dyDescent="0.4">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3046875" defaultRowHeight="12.9" x14ac:dyDescent="0.35"/>
  <cols>
    <col min="1" max="2" width="14.3046875" style="89"/>
    <col min="3" max="3" width="17" style="89" customWidth="1"/>
    <col min="4" max="4" width="14.3046875" style="89"/>
    <col min="5" max="5" width="46" style="89" customWidth="1"/>
    <col min="6" max="16384" width="14.3046875" style="89"/>
  </cols>
  <sheetData>
    <row r="1" spans="2:6" ht="24" customHeight="1" thickBot="1" x14ac:dyDescent="0.4">
      <c r="B1" s="416" t="s">
        <v>78</v>
      </c>
      <c r="C1" s="417"/>
      <c r="D1" s="417"/>
      <c r="E1" s="417"/>
      <c r="F1" s="418"/>
    </row>
    <row r="2" spans="2:6" ht="16.3" thickBot="1" x14ac:dyDescent="0.5">
      <c r="B2" s="90"/>
      <c r="C2" s="90"/>
      <c r="D2" s="90"/>
      <c r="E2" s="90"/>
      <c r="F2" s="90"/>
    </row>
    <row r="3" spans="2:6" ht="15.9" thickBot="1" x14ac:dyDescent="0.4">
      <c r="B3" s="420" t="s">
        <v>64</v>
      </c>
      <c r="C3" s="421"/>
      <c r="D3" s="421"/>
      <c r="E3" s="102" t="s">
        <v>65</v>
      </c>
      <c r="F3" s="103" t="s">
        <v>66</v>
      </c>
    </row>
    <row r="4" spans="2:6" ht="30.9" x14ac:dyDescent="0.35">
      <c r="B4" s="422" t="s">
        <v>67</v>
      </c>
      <c r="C4" s="424" t="s">
        <v>13</v>
      </c>
      <c r="D4" s="91" t="s">
        <v>14</v>
      </c>
      <c r="E4" s="92" t="s">
        <v>68</v>
      </c>
      <c r="F4" s="93">
        <v>0.25</v>
      </c>
    </row>
    <row r="5" spans="2:6" ht="46.3" x14ac:dyDescent="0.35">
      <c r="B5" s="423"/>
      <c r="C5" s="425"/>
      <c r="D5" s="94" t="s">
        <v>15</v>
      </c>
      <c r="E5" s="95" t="s">
        <v>69</v>
      </c>
      <c r="F5" s="96">
        <v>0.15</v>
      </c>
    </row>
    <row r="6" spans="2:6" ht="46.3" x14ac:dyDescent="0.35">
      <c r="B6" s="423"/>
      <c r="C6" s="425"/>
      <c r="D6" s="94" t="s">
        <v>16</v>
      </c>
      <c r="E6" s="95" t="s">
        <v>70</v>
      </c>
      <c r="F6" s="96">
        <v>0.1</v>
      </c>
    </row>
    <row r="7" spans="2:6" ht="61.75" x14ac:dyDescent="0.35">
      <c r="B7" s="423"/>
      <c r="C7" s="425" t="s">
        <v>17</v>
      </c>
      <c r="D7" s="94" t="s">
        <v>10</v>
      </c>
      <c r="E7" s="95" t="s">
        <v>71</v>
      </c>
      <c r="F7" s="96">
        <v>0.25</v>
      </c>
    </row>
    <row r="8" spans="2:6" ht="30.9" x14ac:dyDescent="0.35">
      <c r="B8" s="423"/>
      <c r="C8" s="425"/>
      <c r="D8" s="94" t="s">
        <v>9</v>
      </c>
      <c r="E8" s="95" t="s">
        <v>72</v>
      </c>
      <c r="F8" s="96">
        <v>0.15</v>
      </c>
    </row>
    <row r="9" spans="2:6" ht="46.3" x14ac:dyDescent="0.35">
      <c r="B9" s="423" t="s">
        <v>162</v>
      </c>
      <c r="C9" s="425" t="s">
        <v>18</v>
      </c>
      <c r="D9" s="94" t="s">
        <v>19</v>
      </c>
      <c r="E9" s="95" t="s">
        <v>73</v>
      </c>
      <c r="F9" s="97" t="s">
        <v>74</v>
      </c>
    </row>
    <row r="10" spans="2:6" ht="46.3" x14ac:dyDescent="0.35">
      <c r="B10" s="423"/>
      <c r="C10" s="425"/>
      <c r="D10" s="94" t="s">
        <v>20</v>
      </c>
      <c r="E10" s="95" t="s">
        <v>75</v>
      </c>
      <c r="F10" s="97" t="s">
        <v>74</v>
      </c>
    </row>
    <row r="11" spans="2:6" ht="30.9" x14ac:dyDescent="0.35">
      <c r="B11" s="423"/>
      <c r="C11" s="425" t="s">
        <v>21</v>
      </c>
      <c r="D11" s="94" t="s">
        <v>22</v>
      </c>
      <c r="E11" s="95" t="s">
        <v>76</v>
      </c>
      <c r="F11" s="97" t="s">
        <v>74</v>
      </c>
    </row>
    <row r="12" spans="2:6" ht="46.3" x14ac:dyDescent="0.35">
      <c r="B12" s="423"/>
      <c r="C12" s="425"/>
      <c r="D12" s="94" t="s">
        <v>23</v>
      </c>
      <c r="E12" s="95" t="s">
        <v>77</v>
      </c>
      <c r="F12" s="97" t="s">
        <v>74</v>
      </c>
    </row>
    <row r="13" spans="2:6" ht="30.9" x14ac:dyDescent="0.35">
      <c r="B13" s="423"/>
      <c r="C13" s="425" t="s">
        <v>24</v>
      </c>
      <c r="D13" s="94" t="s">
        <v>119</v>
      </c>
      <c r="E13" s="95" t="s">
        <v>122</v>
      </c>
      <c r="F13" s="97" t="s">
        <v>74</v>
      </c>
    </row>
    <row r="14" spans="2:6" ht="15.9" thickBot="1" x14ac:dyDescent="0.4">
      <c r="B14" s="426"/>
      <c r="C14" s="427"/>
      <c r="D14" s="98" t="s">
        <v>120</v>
      </c>
      <c r="E14" s="99" t="s">
        <v>121</v>
      </c>
      <c r="F14" s="100" t="s">
        <v>74</v>
      </c>
    </row>
    <row r="15" spans="2:6" ht="49.5" customHeight="1" x14ac:dyDescent="0.35">
      <c r="B15" s="419" t="s">
        <v>159</v>
      </c>
      <c r="C15" s="419"/>
      <c r="D15" s="419"/>
      <c r="E15" s="419"/>
      <c r="F15" s="419"/>
    </row>
    <row r="16" spans="2:6" ht="27" customHeight="1" x14ac:dyDescent="0.3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6" x14ac:dyDescent="0.4"/>
  <sheetData>
    <row r="2" spans="2:5" x14ac:dyDescent="0.4">
      <c r="B2" t="s">
        <v>31</v>
      </c>
      <c r="E2" t="s">
        <v>133</v>
      </c>
    </row>
    <row r="3" spans="2:5" x14ac:dyDescent="0.4">
      <c r="B3" t="s">
        <v>32</v>
      </c>
      <c r="E3" t="s">
        <v>132</v>
      </c>
    </row>
    <row r="4" spans="2:5" x14ac:dyDescent="0.4">
      <c r="B4" t="s">
        <v>137</v>
      </c>
      <c r="E4" t="s">
        <v>134</v>
      </c>
    </row>
    <row r="5" spans="2:5" x14ac:dyDescent="0.4">
      <c r="B5" t="s">
        <v>136</v>
      </c>
    </row>
    <row r="8" spans="2:5" x14ac:dyDescent="0.4">
      <c r="B8" t="s">
        <v>86</v>
      </c>
    </row>
    <row r="9" spans="2:5" x14ac:dyDescent="0.4">
      <c r="B9" t="s">
        <v>40</v>
      </c>
    </row>
    <row r="10" spans="2:5" x14ac:dyDescent="0.4">
      <c r="B10" t="s">
        <v>41</v>
      </c>
    </row>
    <row r="13" spans="2:5" x14ac:dyDescent="0.4">
      <c r="B13" t="s">
        <v>129</v>
      </c>
    </row>
    <row r="14" spans="2:5" x14ac:dyDescent="0.4">
      <c r="B14" t="s">
        <v>123</v>
      </c>
    </row>
    <row r="15" spans="2:5" x14ac:dyDescent="0.4">
      <c r="B15" t="s">
        <v>126</v>
      </c>
    </row>
    <row r="16" spans="2:5" x14ac:dyDescent="0.4">
      <c r="B16" t="s">
        <v>124</v>
      </c>
    </row>
    <row r="17" spans="2:2" x14ac:dyDescent="0.4">
      <c r="B17" t="s">
        <v>125</v>
      </c>
    </row>
    <row r="18" spans="2:2" x14ac:dyDescent="0.4">
      <c r="B18" t="s">
        <v>127</v>
      </c>
    </row>
    <row r="19" spans="2:2" x14ac:dyDescent="0.4">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3828125" defaultRowHeight="12.9" x14ac:dyDescent="0.35"/>
  <cols>
    <col min="1" max="1" width="32.84375" style="9" customWidth="1"/>
    <col min="2" max="16384" width="11.3828125" style="9"/>
  </cols>
  <sheetData>
    <row r="3" spans="1:1" x14ac:dyDescent="0.35">
      <c r="A3" s="10" t="s">
        <v>14</v>
      </c>
    </row>
    <row r="4" spans="1:1" x14ac:dyDescent="0.35">
      <c r="A4" s="10" t="s">
        <v>15</v>
      </c>
    </row>
    <row r="5" spans="1:1" x14ac:dyDescent="0.35">
      <c r="A5" s="10" t="s">
        <v>16</v>
      </c>
    </row>
    <row r="6" spans="1:1" x14ac:dyDescent="0.35">
      <c r="A6" s="10" t="s">
        <v>10</v>
      </c>
    </row>
    <row r="7" spans="1:1" x14ac:dyDescent="0.35">
      <c r="A7" s="10" t="s">
        <v>9</v>
      </c>
    </row>
    <row r="8" spans="1:1" x14ac:dyDescent="0.35">
      <c r="A8" s="10" t="s">
        <v>19</v>
      </c>
    </row>
    <row r="9" spans="1:1" x14ac:dyDescent="0.35">
      <c r="A9" s="10" t="s">
        <v>20</v>
      </c>
    </row>
    <row r="10" spans="1:1" x14ac:dyDescent="0.35">
      <c r="A10" s="10" t="s">
        <v>22</v>
      </c>
    </row>
    <row r="11" spans="1:1" x14ac:dyDescent="0.35">
      <c r="A11" s="10" t="s">
        <v>23</v>
      </c>
    </row>
    <row r="12" spans="1:1" x14ac:dyDescent="0.35">
      <c r="A12" s="10" t="s">
        <v>25</v>
      </c>
    </row>
    <row r="13" spans="1:1" x14ac:dyDescent="0.35">
      <c r="A13" s="10" t="s">
        <v>26</v>
      </c>
    </row>
    <row r="14" spans="1:1" x14ac:dyDescent="0.35">
      <c r="A14" s="10" t="s">
        <v>27</v>
      </c>
    </row>
    <row r="16" spans="1:1" x14ac:dyDescent="0.35">
      <c r="A16" s="10" t="s">
        <v>30</v>
      </c>
    </row>
    <row r="17" spans="1:1" x14ac:dyDescent="0.35">
      <c r="A17" s="10" t="s">
        <v>31</v>
      </c>
    </row>
    <row r="18" spans="1:1" x14ac:dyDescent="0.35">
      <c r="A18" s="10" t="s">
        <v>32</v>
      </c>
    </row>
    <row r="20" spans="1:1" x14ac:dyDescent="0.35">
      <c r="A20" s="10" t="s">
        <v>40</v>
      </c>
    </row>
    <row r="21" spans="1:1" x14ac:dyDescent="0.35">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Quality Consultoría y Capacitación E.U</cp:lastModifiedBy>
  <cp:lastPrinted>2020-05-13T01:12:22Z</cp:lastPrinted>
  <dcterms:created xsi:type="dcterms:W3CDTF">2020-03-24T23:12:47Z</dcterms:created>
  <dcterms:modified xsi:type="dcterms:W3CDTF">2023-07-28T15:16:40Z</dcterms:modified>
</cp:coreProperties>
</file>